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codeName="ThisWorkbook"/>
  <mc:AlternateContent xmlns:mc="http://schemas.openxmlformats.org/markup-compatibility/2006">
    <mc:Choice Requires="x15">
      <x15ac:absPath xmlns:x15ac="http://schemas.microsoft.com/office/spreadsheetml/2010/11/ac" url="/Users/trentonhorinek/Desktop/USCTP/"/>
    </mc:Choice>
  </mc:AlternateContent>
  <xr:revisionPtr revIDLastSave="0" documentId="13_ncr:1_{07B28FA9-AE39-EB47-8B1F-04BCC583DA5C}" xr6:coauthVersionLast="47" xr6:coauthVersionMax="47" xr10:uidLastSave="{00000000-0000-0000-0000-000000000000}"/>
  <bookViews>
    <workbookView xWindow="33920" yWindow="-640" windowWidth="28800" windowHeight="15820" xr2:uid="{00000000-000D-0000-FFFF-FFFF00000000}"/>
  </bookViews>
  <sheets>
    <sheet name="Cost 2.0" sheetId="5" r:id="rId1"/>
    <sheet name="Fee Tables 2.0" sheetId="10" r:id="rId2"/>
    <sheet name="Fee Tables (NEW with details)" sheetId="19" state="hidden" r:id="rId3"/>
    <sheet name="Examples of PCCU Fees" sheetId="4" state="hidden" r:id="rId4"/>
  </sheets>
  <definedNames>
    <definedName name="_xlnm.Print_Area" localSheetId="0">'Cost 2.0'!$B$1:$F$34</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9" l="1"/>
  <c r="D31" i="19" s="1"/>
  <c r="B22" i="10"/>
  <c r="B28" i="19" l="1"/>
  <c r="B29" i="19" s="1"/>
  <c r="C28" i="19"/>
  <c r="D28" i="19"/>
  <c r="E28" i="19"/>
  <c r="E29" i="19" s="1"/>
  <c r="C31" i="19"/>
  <c r="E31" i="19"/>
  <c r="B31" i="19"/>
  <c r="C29" i="19" l="1"/>
  <c r="F29" i="19" s="1"/>
  <c r="D29" i="19"/>
  <c r="F17" i="5" l="1"/>
  <c r="E17" i="5"/>
  <c r="D17" i="5"/>
  <c r="D14" i="5" l="1"/>
  <c r="B23" i="19" s="1"/>
  <c r="E14" i="5"/>
  <c r="C23" i="10" s="1"/>
  <c r="F14" i="5"/>
  <c r="D23" i="10" s="1"/>
  <c r="F11" i="4"/>
  <c r="G25" i="4"/>
  <c r="C22" i="10"/>
  <c r="D22" i="10"/>
  <c r="D25" i="4"/>
  <c r="F24" i="4"/>
  <c r="D24" i="4"/>
  <c r="D21" i="5"/>
  <c r="F25" i="5"/>
  <c r="E25" i="5"/>
  <c r="F22" i="5"/>
  <c r="E22" i="5"/>
  <c r="D22" i="5"/>
  <c r="F21" i="5"/>
  <c r="E21" i="5"/>
  <c r="L18" i="5"/>
  <c r="L17" i="5"/>
  <c r="L16" i="5"/>
  <c r="L15" i="5"/>
  <c r="L14" i="5"/>
  <c r="L13" i="5"/>
  <c r="L12" i="5"/>
  <c r="L11" i="5"/>
  <c r="L10" i="5"/>
  <c r="L9" i="5"/>
  <c r="L8" i="5"/>
  <c r="L7" i="5"/>
  <c r="L6" i="5"/>
  <c r="L5" i="5"/>
  <c r="L4" i="5"/>
  <c r="L3" i="5"/>
  <c r="L2" i="5"/>
  <c r="E26" i="4"/>
  <c r="F26" i="4"/>
  <c r="G26" i="4"/>
  <c r="D26" i="4"/>
  <c r="E19" i="4"/>
  <c r="F19" i="4"/>
  <c r="G19" i="4"/>
  <c r="G20" i="4" s="1"/>
  <c r="D19" i="4"/>
  <c r="E5" i="4"/>
  <c r="F5" i="4"/>
  <c r="G5" i="4"/>
  <c r="D5" i="4"/>
  <c r="E12" i="4"/>
  <c r="F12" i="4"/>
  <c r="G12" i="4"/>
  <c r="G13" i="4" s="1"/>
  <c r="D12" i="4"/>
  <c r="D3" i="4"/>
  <c r="D4" i="4"/>
  <c r="F25" i="4"/>
  <c r="E25" i="4"/>
  <c r="E24" i="4"/>
  <c r="E18" i="4"/>
  <c r="D18" i="4"/>
  <c r="F17" i="4"/>
  <c r="E17" i="4"/>
  <c r="D17" i="4"/>
  <c r="E11" i="4"/>
  <c r="D11" i="4"/>
  <c r="F10" i="4"/>
  <c r="E10" i="4"/>
  <c r="D10" i="4"/>
  <c r="F3" i="4"/>
  <c r="E3" i="4"/>
  <c r="E4" i="4"/>
  <c r="E6" i="4" s="1"/>
  <c r="C24" i="10" l="1"/>
  <c r="E24" i="5" s="1"/>
  <c r="E26" i="5" s="1"/>
  <c r="E28" i="5" s="1"/>
  <c r="E30" i="5" s="1"/>
  <c r="B30" i="19"/>
  <c r="B24" i="19"/>
  <c r="C30" i="19"/>
  <c r="C32" i="19" s="1"/>
  <c r="D30" i="19"/>
  <c r="D32" i="19" s="1"/>
  <c r="D24" i="10"/>
  <c r="F24" i="5" s="1"/>
  <c r="F26" i="5" s="1"/>
  <c r="F28" i="5" s="1"/>
  <c r="F30" i="5" s="1"/>
  <c r="F23" i="5"/>
  <c r="D27" i="4"/>
  <c r="G27" i="4"/>
  <c r="D13" i="4"/>
  <c r="F27" i="4"/>
  <c r="E13" i="4"/>
  <c r="E27" i="4"/>
  <c r="D6" i="4"/>
  <c r="F13" i="4"/>
  <c r="E23" i="5"/>
  <c r="D23" i="5"/>
  <c r="F18" i="4"/>
  <c r="F4" i="4"/>
  <c r="F6" i="4" s="1"/>
  <c r="H6" i="4" s="1"/>
  <c r="I6" i="4" s="1"/>
  <c r="E20" i="4"/>
  <c r="D20" i="4"/>
  <c r="E30" i="19" l="1"/>
  <c r="E32" i="19" s="1"/>
  <c r="B32" i="19"/>
  <c r="F30" i="19"/>
  <c r="B23" i="10"/>
  <c r="B24" i="10" s="1"/>
  <c r="H13" i="4"/>
  <c r="I13" i="4" s="1"/>
  <c r="H27" i="4"/>
  <c r="I27" i="4" s="1"/>
  <c r="F20" i="4"/>
  <c r="H20" i="4" s="1"/>
  <c r="I20" i="4" s="1"/>
  <c r="F36" i="19" l="1"/>
  <c r="G36" i="19" s="1"/>
  <c r="F32" i="19"/>
  <c r="D24" i="5"/>
  <c r="D26" i="5" l="1"/>
  <c r="D28" i="5" s="1"/>
  <c r="D3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tc={A35835AA-54B4-415F-8B21-AC4B8A0BE7D6}</author>
    <author>tc={4EB8E656-D88A-4A40-A519-33A3086F7FFE}</author>
    <author>tc={05C8E684-32C0-4168-BBEF-4A803A2E48AC}</author>
    <author>tc={F30F5C3F-4B2C-4E4D-B553-25E94E94C79B}</author>
    <author>tc={C7718FC8-AF8C-4763-9440-35588D992A08}</author>
    <author>tc={17507312-CCF5-498A-A725-42DF72ADD2BA}</author>
    <author>tc={844AD84B-9AAC-4FC7-9476-B5675DE3E912}</author>
    <author>tc={843C44C0-8093-49D9-BA9A-8806F8A9D902}</author>
    <author>tc={BC26F9D8-EBCC-42CC-B091-F31343BD762C}</author>
    <author>tc={93E44441-DD70-468A-9F24-276AE234F1CF}</author>
    <author>tc={F48A814D-6D37-4C63-8F2D-38D3CE396A31}</author>
    <author>tc={18A265CF-C736-4B56-B229-AA038EAE33F1}</author>
  </authors>
  <commentList>
    <comment ref="A4" authorId="0" shapeId="0" xr:uid="{A35835AA-54B4-415F-8B21-AC4B8A0BE7D6}">
      <text>
        <t>[Threaded comment]
Your version of Excel allows you to read this threaded comment; however, any edits to it will get removed if the file is opened in a newer version of Excel. Learn more: https://go.microsoft.com/fwlink/?linkid=870924
Comment:
    Less than or equal to 20,000 MT</t>
      </text>
    </comment>
    <comment ref="A5" authorId="1" shapeId="0" xr:uid="{4EB8E656-D88A-4A40-A519-33A3086F7FFE}">
      <text>
        <t>[Threaded comment]
Your version of Excel allows you to read this threaded comment; however, any edits to it will get removed if the file is opened in a newer version of Excel. Learn more: https://go.microsoft.com/fwlink/?linkid=870924
Comment:
    Less than or equal to 50,000 MT</t>
      </text>
    </comment>
    <comment ref="A6" authorId="2" shapeId="0" xr:uid="{05C8E684-32C0-4168-BBEF-4A803A2E48AC}">
      <text>
        <t>[Threaded comment]
Your version of Excel allows you to read this threaded comment; however, any edits to it will get removed if the file is opened in a newer version of Excel. Learn more: https://go.microsoft.com/fwlink/?linkid=870924
Comment:
    Less than or equal to 125,000 MT</t>
      </text>
    </comment>
    <comment ref="A7" authorId="3" shapeId="0" xr:uid="{F30F5C3F-4B2C-4E4D-B553-25E94E94C79B}">
      <text>
        <t>[Threaded comment]
Your version of Excel allows you to read this threaded comment; however, any edits to it will get removed if the file is opened in a newer version of Excel. Learn more: https://go.microsoft.com/fwlink/?linkid=870924
Comment:
    Greater than 125,000 MT</t>
      </text>
    </comment>
    <comment ref="B13" authorId="4" shapeId="0" xr:uid="{C7718FC8-AF8C-4763-9440-35588D992A08}">
      <text>
        <t>[Threaded comment]
Your version of Excel allows you to read this threaded comment; however, any edits to it will get removed if the file is opened in a newer version of Excel. Learn more: https://go.microsoft.com/fwlink/?linkid=870924
Comment:
    1 - 10.99%</t>
      </text>
    </comment>
    <comment ref="C13" authorId="5" shapeId="0" xr:uid="{17507312-CCF5-498A-A725-42DF72ADD2BA}">
      <text>
        <t>[Threaded comment]
Your version of Excel allows you to read this threaded comment; however, any edits to it will get removed if the file is opened in a newer version of Excel. Learn more: https://go.microsoft.com/fwlink/?linkid=870924
Comment:
    11 - 24.99%</t>
      </text>
    </comment>
    <comment ref="D13" authorId="6" shapeId="0" xr:uid="{844AD84B-9AAC-4FC7-9476-B5675DE3E912}">
      <text>
        <t>[Threaded comment]
Your version of Excel allows you to read this threaded comment; however, any edits to it will get removed if the file is opened in a newer version of Excel. Learn more: https://go.microsoft.com/fwlink/?linkid=870924
Comment:
    25 - 74.99%</t>
      </text>
    </comment>
    <comment ref="E13" authorId="7" shapeId="0" xr:uid="{843C44C0-8093-49D9-BA9A-8806F8A9D902}">
      <text>
        <t>[Threaded comment]
Your version of Excel allows you to read this threaded comment; however, any edits to it will get removed if the file is opened in a newer version of Excel. Learn more: https://go.microsoft.com/fwlink/?linkid=870924
Comment:
    75 - 100%</t>
      </text>
    </comment>
    <comment ref="A14" authorId="8" shapeId="0" xr:uid="{BC26F9D8-EBCC-42CC-B091-F31343BD762C}">
      <text>
        <t>[Threaded comment]
Your version of Excel allows you to read this threaded comment; however, any edits to it will get removed if the file is opened in a newer version of Excel. Learn more: https://go.microsoft.com/fwlink/?linkid=870924
Comment:
    1 - 20,000 MT</t>
      </text>
    </comment>
    <comment ref="A15" authorId="9" shapeId="0" xr:uid="{93E44441-DD70-468A-9F24-276AE234F1CF}">
      <text>
        <t>[Threaded comment]
Your version of Excel allows you to read this threaded comment; however, any edits to it will get removed if the file is opened in a newer version of Excel. Learn more: https://go.microsoft.com/fwlink/?linkid=870924
Comment:
    20,001 - 50,000 MT</t>
      </text>
    </comment>
    <comment ref="A16" authorId="10" shapeId="0" xr:uid="{F48A814D-6D37-4C63-8F2D-38D3CE396A31}">
      <text>
        <t>[Threaded comment]
Your version of Excel allows you to read this threaded comment; however, any edits to it will get removed if the file is opened in a newer version of Excel. Learn more: https://go.microsoft.com/fwlink/?linkid=870924
Comment:
    50,001 - 125,000 MT</t>
      </text>
    </comment>
    <comment ref="A17" authorId="11" shapeId="0" xr:uid="{18A265CF-C736-4B56-B229-AA038EAE33F1}">
      <text>
        <t>[Threaded comment]
Your version of Excel allows you to read this threaded comment; however, any edits to it will get removed if the file is opened in a newer version of Excel. Learn more: https://go.microsoft.com/fwlink/?linkid=870924
Comment:
    Greater than 125,000 MT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tc={2502D478-6153-4633-930D-8D7E3D26CD72}</author>
    <author>tc={A90ECA5B-D152-4C44-8C24-4BC6EACFD792}</author>
    <author>tc={E06ED0E0-523C-45AD-AB59-140DF4D35A0F}</author>
    <author>tc={1971603C-1238-4C4C-9216-3D6518B2B122}</author>
    <author>tc={BBDA6CD0-6BAB-4D07-9BF2-60F0411598D8}</author>
    <author>tc={BC761593-C893-4E5E-A6DB-93E341F22545}</author>
    <author>tc={5503E364-0CC4-4844-8792-4ACEA0CDB499}</author>
    <author>tc={F326EF19-D34F-4B3C-8F76-592CF214C50A}</author>
    <author>tc={705FCB5E-B90A-4D63-9695-ED800F3D2637}</author>
    <author>tc={2751A7D9-19AE-4335-8280-E57C7FD56F17}</author>
    <author>tc={9F42944E-9682-4E46-90CA-BDB07920C6C3}</author>
    <author>tc={CBF6018D-9B69-48C6-AB3E-4A23A33AE7AA}</author>
  </authors>
  <commentList>
    <comment ref="A4" authorId="0" shapeId="0" xr:uid="{2502D478-6153-4633-930D-8D7E3D26CD72}">
      <text>
        <t>[Threaded comment]
Your version of Excel allows you to read this threaded comment; however, any edits to it will get removed if the file is opened in a newer version of Excel. Learn more: https://go.microsoft.com/fwlink/?linkid=870924
Comment:
    Less than or equal to 20,000 MT</t>
      </text>
    </comment>
    <comment ref="A5" authorId="1" shapeId="0" xr:uid="{A90ECA5B-D152-4C44-8C24-4BC6EACFD792}">
      <text>
        <t>[Threaded comment]
Your version of Excel allows you to read this threaded comment; however, any edits to it will get removed if the file is opened in a newer version of Excel. Learn more: https://go.microsoft.com/fwlink/?linkid=870924
Comment:
    Less than or equal to 50,000 MT</t>
      </text>
    </comment>
    <comment ref="A6" authorId="2" shapeId="0" xr:uid="{E06ED0E0-523C-45AD-AB59-140DF4D35A0F}">
      <text>
        <t>[Threaded comment]
Your version of Excel allows you to read this threaded comment; however, any edits to it will get removed if the file is opened in a newer version of Excel. Learn more: https://go.microsoft.com/fwlink/?linkid=870924
Comment:
    Less than or equal to 125,000 MT</t>
      </text>
    </comment>
    <comment ref="A7" authorId="3" shapeId="0" xr:uid="{1971603C-1238-4C4C-9216-3D6518B2B122}">
      <text>
        <t>[Threaded comment]
Your version of Excel allows you to read this threaded comment; however, any edits to it will get removed if the file is opened in a newer version of Excel. Learn more: https://go.microsoft.com/fwlink/?linkid=870924
Comment:
    Greater than 125,000 MT</t>
      </text>
    </comment>
    <comment ref="B13" authorId="4" shapeId="0" xr:uid="{BBDA6CD0-6BAB-4D07-9BF2-60F0411598D8}">
      <text>
        <t>[Threaded comment]
Your version of Excel allows you to read this threaded comment; however, any edits to it will get removed if the file is opened in a newer version of Excel. Learn more: https://go.microsoft.com/fwlink/?linkid=870924
Comment:
    1 - 10.99%</t>
      </text>
    </comment>
    <comment ref="C13" authorId="5" shapeId="0" xr:uid="{BC761593-C893-4E5E-A6DB-93E341F22545}">
      <text>
        <t>[Threaded comment]
Your version of Excel allows you to read this threaded comment; however, any edits to it will get removed if the file is opened in a newer version of Excel. Learn more: https://go.microsoft.com/fwlink/?linkid=870924
Comment:
    11 - 24.99%</t>
      </text>
    </comment>
    <comment ref="D13" authorId="6" shapeId="0" xr:uid="{5503E364-0CC4-4844-8792-4ACEA0CDB499}">
      <text>
        <t>[Threaded comment]
Your version of Excel allows you to read this threaded comment; however, any edits to it will get removed if the file is opened in a newer version of Excel. Learn more: https://go.microsoft.com/fwlink/?linkid=870924
Comment:
    25 - 74.99%</t>
      </text>
    </comment>
    <comment ref="E13" authorId="7" shapeId="0" xr:uid="{F326EF19-D34F-4B3C-8F76-592CF214C50A}">
      <text>
        <t>[Threaded comment]
Your version of Excel allows you to read this threaded comment; however, any edits to it will get removed if the file is opened in a newer version of Excel. Learn more: https://go.microsoft.com/fwlink/?linkid=870924
Comment:
    75 - 100%</t>
      </text>
    </comment>
    <comment ref="A14" authorId="8" shapeId="0" xr:uid="{705FCB5E-B90A-4D63-9695-ED800F3D2637}">
      <text>
        <t>[Threaded comment]
Your version of Excel allows you to read this threaded comment; however, any edits to it will get removed if the file is opened in a newer version of Excel. Learn more: https://go.microsoft.com/fwlink/?linkid=870924
Comment:
    1 - 20,000 MT</t>
      </text>
    </comment>
    <comment ref="A15" authorId="9" shapeId="0" xr:uid="{2751A7D9-19AE-4335-8280-E57C7FD56F17}">
      <text>
        <t>[Threaded comment]
Your version of Excel allows you to read this threaded comment; however, any edits to it will get removed if the file is opened in a newer version of Excel. Learn more: https://go.microsoft.com/fwlink/?linkid=870924
Comment:
    20,001 - 50,000 MT</t>
      </text>
    </comment>
    <comment ref="A16" authorId="10" shapeId="0" xr:uid="{9F42944E-9682-4E46-90CA-BDB07920C6C3}">
      <text>
        <t>[Threaded comment]
Your version of Excel allows you to read this threaded comment; however, any edits to it will get removed if the file is opened in a newer version of Excel. Learn more: https://go.microsoft.com/fwlink/?linkid=870924
Comment:
    50,001 - 125,000 MT</t>
      </text>
    </comment>
    <comment ref="A17" authorId="11" shapeId="0" xr:uid="{CBF6018D-9B69-48C6-AB3E-4A23A33AE7AA}">
      <text>
        <t>[Threaded comment]
Your version of Excel allows you to read this threaded comment; however, any edits to it will get removed if the file is opened in a newer version of Excel. Learn more: https://go.microsoft.com/fwlink/?linkid=870924
Comment:
    Greater than 125,000 MT</t>
      </text>
    </comment>
  </commentList>
</comments>
</file>

<file path=xl/sharedStrings.xml><?xml version="1.0" encoding="utf-8"?>
<sst xmlns="http://schemas.openxmlformats.org/spreadsheetml/2006/main" count="166" uniqueCount="80">
  <si>
    <t>1b</t>
  </si>
  <si>
    <t>1c</t>
  </si>
  <si>
    <t>1d</t>
  </si>
  <si>
    <t>2-year</t>
  </si>
  <si>
    <t>5-year</t>
  </si>
  <si>
    <t>2a</t>
  </si>
  <si>
    <t>2b</t>
  </si>
  <si>
    <t>2c</t>
  </si>
  <si>
    <t>Volume</t>
  </si>
  <si>
    <t>Total cotton lint consumption per year (MT)</t>
  </si>
  <si>
    <t>2d</t>
  </si>
  <si>
    <t>3a</t>
  </si>
  <si>
    <t>3b</t>
  </si>
  <si>
    <t>3c</t>
  </si>
  <si>
    <t>3d</t>
  </si>
  <si>
    <t>4a</t>
  </si>
  <si>
    <t>4b</t>
  </si>
  <si>
    <t>Cost</t>
  </si>
  <si>
    <t>Membership fee</t>
  </si>
  <si>
    <t>4c</t>
  </si>
  <si>
    <t>4d</t>
  </si>
  <si>
    <t>Pre-paid volume-based fee</t>
  </si>
  <si>
    <t>Relative</t>
  </si>
  <si>
    <t>Absolute</t>
  </si>
  <si>
    <t>Combined</t>
  </si>
  <si>
    <t>Year-end calculated VBF</t>
  </si>
  <si>
    <t>MEMBERSHIP FEES FOR RETAILERS &amp; BRANDS</t>
  </si>
  <si>
    <t>Annual Fee (USD)</t>
  </si>
  <si>
    <t>Volume Based Fee Rate</t>
  </si>
  <si>
    <t>&gt;=1%</t>
  </si>
  <si>
    <t>&gt;=11%</t>
  </si>
  <si>
    <t>&gt;=25%</t>
  </si>
  <si>
    <t>&gt;=75%</t>
  </si>
  <si>
    <t>≤ 20,000 MT</t>
  </si>
  <si>
    <t>Net VBF (Trust Protocol to invoice)</t>
  </si>
  <si>
    <t>Total invested in the Trust Protocol
(Membership fee + VBF)</t>
  </si>
  <si>
    <t>Estimated Cost Tool for Trust Protocol 
Brand and Retailer Members</t>
  </si>
  <si>
    <t>&gt;20,001 - 50,000 MT</t>
  </si>
  <si>
    <t>&gt;50,001 - 125,000 MT</t>
  </si>
  <si>
    <t>&gt;125,001 MT</t>
  </si>
  <si>
    <t>0-10%</t>
  </si>
  <si>
    <t>11-25%</t>
  </si>
  <si>
    <t>26-75%</t>
  </si>
  <si>
    <t>Total Fees</t>
  </si>
  <si>
    <t>Avg/MT</t>
  </si>
  <si>
    <t>Consumptions</t>
  </si>
  <si>
    <t>76%+</t>
  </si>
  <si>
    <t>Brand in Category 2</t>
  </si>
  <si>
    <t>Brand in Category 1</t>
  </si>
  <si>
    <t>Brand in Category 3</t>
  </si>
  <si>
    <t>Brand in Category 4</t>
  </si>
  <si>
    <t>Actual Consumption</t>
  </si>
  <si>
    <t>% range</t>
  </si>
  <si>
    <t>Max kg's in range</t>
  </si>
  <si>
    <t>no limit</t>
  </si>
  <si>
    <t>Applicable VBF Fees</t>
  </si>
  <si>
    <t>Aplicable VBF Fees</t>
  </si>
  <si>
    <t>FCST All Cotton</t>
  </si>
  <si>
    <t xml:space="preserve">INSTRUCTIONS </t>
  </si>
  <si>
    <t>Total Cotton Consumption (MT)</t>
  </si>
  <si>
    <t>Volumes of cotton sourced as Protocol or US Cotton (MT)</t>
  </si>
  <si>
    <t>Consumption (&lt;= Row Value)</t>
  </si>
  <si>
    <t>&gt; 125,000</t>
  </si>
  <si>
    <t>FCST PCCU</t>
  </si>
  <si>
    <t>Max MT's in range</t>
  </si>
  <si>
    <t>Additional  MT's to reach max range</t>
  </si>
  <si>
    <t>MT's within range</t>
  </si>
  <si>
    <t>% range upper limit</t>
  </si>
  <si>
    <t>Volume (MT)</t>
  </si>
  <si>
    <t>Check row sum</t>
  </si>
  <si>
    <t>2-year Volume (MT)</t>
  </si>
  <si>
    <t>5-year Volume (MT)</t>
  </si>
  <si>
    <t>Total Cotton Consumption</t>
  </si>
  <si>
    <t>PCCU Consumption</t>
  </si>
  <si>
    <r>
      <t>VBF rate per MT* (</t>
    </r>
    <r>
      <rPr>
        <b/>
        <i/>
        <sz val="14"/>
        <color theme="0"/>
        <rFont val="Arial"/>
        <family val="2"/>
      </rPr>
      <t>blended as consumption increases</t>
    </r>
    <r>
      <rPr>
        <b/>
        <sz val="14"/>
        <color theme="0"/>
        <rFont val="Arial"/>
        <family val="2"/>
      </rPr>
      <t>)</t>
    </r>
  </si>
  <si>
    <t xml:space="preserve">This tool is used for forecasting costs for Brand and Retailer Members. Figures are not contractual. </t>
  </si>
  <si>
    <t>Enter your details in highlighted yellow fields</t>
  </si>
  <si>
    <t>Trust Protocol Sourcing Targets (%)</t>
  </si>
  <si>
    <t>Trust Protocol Procurement (MT)</t>
  </si>
  <si>
    <r>
      <t xml:space="preserve">EXPLANATIONS
Total cotton consumption per year
</t>
    </r>
    <r>
      <rPr>
        <sz val="14"/>
        <color rgb="FF3C3C3B"/>
        <rFont val="Arial"/>
        <family val="2"/>
      </rPr>
      <t>This is based on your forecasted annual global cotton lint consumption, including any year-over-year (YoY) growth. It represents the cotton required at the ginner level to produce all your cotton-containing products. When calculating this figure, please consider waste factors as you work backward from the finished product to cotton lint. If you need guidance, refer to industry averages for waste factors.</t>
    </r>
    <r>
      <rPr>
        <b/>
        <sz val="14"/>
        <color rgb="FF3C3C3B"/>
        <rFont val="Arial"/>
        <family val="2"/>
      </rPr>
      <t xml:space="preserve">
Trust Protocol Cotton minimum sourcing requirements
</t>
    </r>
    <r>
      <rPr>
        <sz val="14"/>
        <color rgb="FF3C3C3B"/>
        <rFont val="Arial"/>
        <family val="2"/>
      </rPr>
      <t>The 5% and 10% sourcing requirements are minimum thresholds for the first 2–5 years, not targets. We encourage our members to source U.S. Cotton and Trust Protocol Cotton as their preferred cotton fiber choices.</t>
    </r>
    <r>
      <rPr>
        <b/>
        <sz val="14"/>
        <color rgb="FF3C3C3B"/>
        <rFont val="Arial"/>
        <family val="2"/>
      </rPr>
      <t xml:space="preserve">
Trust Protocol procurement
</t>
    </r>
    <r>
      <rPr>
        <sz val="14"/>
        <color rgb="FF3C3C3B"/>
        <rFont val="Arial"/>
        <family val="2"/>
      </rPr>
      <t xml:space="preserve">This represents the total volume (in metric tons) of U.S. Cotton and Trust Protocol Cotton lint sourced in the calendar year.
</t>
    </r>
    <r>
      <rPr>
        <b/>
        <sz val="14"/>
        <color rgb="FF3C3C3B"/>
        <rFont val="Arial"/>
        <family val="2"/>
      </rPr>
      <t xml:space="preserve">
Membership fee
</t>
    </r>
    <r>
      <rPr>
        <sz val="14"/>
        <color rgb="FF3C3C3B"/>
        <rFont val="Arial"/>
        <family val="2"/>
      </rPr>
      <t>The membership fee is calculated based on annual cotton lint consumption. The complete fee structure is available in the “Fee Tables” tab.</t>
    </r>
    <r>
      <rPr>
        <b/>
        <sz val="14"/>
        <color rgb="FF3C3C3B"/>
        <rFont val="Arial"/>
        <family val="2"/>
      </rPr>
      <t xml:space="preserve">
Volume-based fee (VBF)
</t>
    </r>
    <r>
      <rPr>
        <sz val="14"/>
        <color rgb="FF3C3C3B"/>
        <rFont val="Arial"/>
        <family val="2"/>
      </rPr>
      <t>This is the volume-based fee rate for PCCU volumes for the calendar year. The complete fee structure is found in the “Fee Tables” tab, effective 01/01/2025. This fee is a blended average, incorporating a sliding tier calculation as consumption increases.</t>
    </r>
    <r>
      <rPr>
        <b/>
        <sz val="14"/>
        <color rgb="FF3C3C3B"/>
        <rFont val="Arial"/>
        <family val="2"/>
      </rPr>
      <t xml:space="preserve">
Year-end calculated VBF
</t>
    </r>
    <r>
      <rPr>
        <sz val="14"/>
        <color rgb="FF3C3C3B"/>
        <rFont val="Arial"/>
        <family val="2"/>
      </rPr>
      <t>This reflects the estimated total VBF spend at year-end.</t>
    </r>
    <r>
      <rPr>
        <b/>
        <sz val="14"/>
        <color rgb="FF3C3C3B"/>
        <rFont val="Arial"/>
        <family val="2"/>
      </rPr>
      <t xml:space="preserve">
Net VBF (Trust Protocol to invoice)
</t>
    </r>
    <r>
      <rPr>
        <sz val="14"/>
        <color rgb="FF3C3C3B"/>
        <rFont val="Arial"/>
        <family val="2"/>
      </rPr>
      <t>This indicates the estimated amount that will be invoiced based on PCCU consumption.</t>
    </r>
    <r>
      <rPr>
        <b/>
        <sz val="14"/>
        <color rgb="FF3C3C3B"/>
        <rFont val="Arial"/>
        <family val="2"/>
      </rPr>
      <t xml:space="preserve">
Invoicing
</t>
    </r>
    <r>
      <rPr>
        <sz val="14"/>
        <color rgb="FF3C3C3B"/>
        <rFont val="Arial"/>
        <family val="2"/>
      </rPr>
      <t xml:space="preserve">	•	Membership fees will be invoiced annually on their contract renewal date or upon joining for new members.
	•	VBFs will be invoiced quarterly, following the automatic claim of PCCUs consumed and declared as finished product.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</si>
</sst>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 #,##0_-;_-* &quot;-&quot;??_-;_-@_-"/>
    <numFmt numFmtId="167" formatCode="#,##0\ [$€-1]"/>
    <numFmt numFmtId="168" formatCode="_(&quot;$&quot;* #,##0_);_(&quot;$&quot;* \(#,##0\);_(&quot;$&quot;* &quot;-&quot;??_);_(@_)"/>
    <numFmt numFmtId="169" formatCode="_-&quot;$&quot;* #,##0_-;\-&quot;$&quot;* #,##0_-;_-&quot;$&quot;* &quot;-&quot;??_-;_-@_-"/>
  </numFmts>
  <fonts count="34" x14ac:knownFonts="1">
    <font>
      <sz val="11"/>
      <color theme="1"/>
      <name val="Calibri"/>
      <family val="2"/>
      <scheme val="minor"/>
    </font>
    <font>
      <sz val="11"/>
      <color theme="1"/>
      <name val="Calibri"/>
      <family val="2"/>
      <scheme val="minor"/>
    </font>
    <font>
      <sz val="11"/>
      <color theme="1"/>
      <name val="Arial"/>
      <family val="2"/>
    </font>
    <font>
      <sz val="11"/>
      <color rgb="FFFF0000"/>
      <name val="Arial"/>
      <family val="2"/>
    </font>
    <font>
      <b/>
      <sz val="12"/>
      <color rgb="FF767676"/>
      <name val="Arial"/>
      <family val="2"/>
    </font>
    <font>
      <b/>
      <sz val="16"/>
      <color rgb="FF8DC640"/>
      <name val="Arial"/>
      <family val="2"/>
    </font>
    <font>
      <b/>
      <sz val="12"/>
      <color theme="0"/>
      <name val="Arial"/>
      <family val="2"/>
    </font>
    <font>
      <i/>
      <sz val="12"/>
      <color rgb="FF3C3C3B"/>
      <name val="Arial"/>
      <family val="2"/>
    </font>
    <font>
      <sz val="12"/>
      <color rgb="FF3C3C3B"/>
      <name val="Arial"/>
      <family val="2"/>
    </font>
    <font>
      <b/>
      <sz val="12"/>
      <color rgb="FF3C3C3B"/>
      <name val="Arial"/>
      <family val="2"/>
    </font>
    <font>
      <sz val="11"/>
      <color rgb="FF3C3C3B"/>
      <name val="Arial"/>
      <family val="2"/>
    </font>
    <font>
      <i/>
      <sz val="10"/>
      <color rgb="FF3C3C3B"/>
      <name val="Arial"/>
      <family val="2"/>
    </font>
    <font>
      <b/>
      <sz val="14"/>
      <color rgb="FF3C3C3B"/>
      <name val="Arial"/>
      <family val="2"/>
    </font>
    <font>
      <sz val="14"/>
      <color rgb="FF3C3C3B"/>
      <name val="Arial"/>
      <family val="2"/>
    </font>
    <font>
      <sz val="10"/>
      <color rgb="FF3C3C3B"/>
      <name val="Arial"/>
      <family val="2"/>
    </font>
    <font>
      <b/>
      <sz val="14"/>
      <color theme="0"/>
      <name val="Arial"/>
      <family val="2"/>
    </font>
    <font>
      <sz val="14"/>
      <color theme="0"/>
      <name val="Arial"/>
      <family val="2"/>
    </font>
    <font>
      <b/>
      <sz val="12"/>
      <color rgb="FF0070C0"/>
      <name val="Arial"/>
      <family val="2"/>
    </font>
    <font>
      <b/>
      <sz val="16"/>
      <color rgb="FF0070C0"/>
      <name val="Arial"/>
      <family val="2"/>
    </font>
    <font>
      <b/>
      <sz val="14"/>
      <color rgb="FF0070C0"/>
      <name val="Arial"/>
      <family val="2"/>
    </font>
    <font>
      <sz val="11"/>
      <color rgb="FF0070C0"/>
      <name val="Arial"/>
      <family val="2"/>
    </font>
    <font>
      <b/>
      <sz val="16"/>
      <color rgb="FF3C3C3B"/>
      <name val="Arial"/>
      <family val="2"/>
    </font>
    <font>
      <b/>
      <sz val="16"/>
      <color theme="0"/>
      <name val="Arial"/>
      <family val="2"/>
    </font>
    <font>
      <b/>
      <u/>
      <sz val="12"/>
      <color rgb="FF3C3C3B"/>
      <name val="Arial"/>
      <family val="2"/>
    </font>
    <font>
      <sz val="16"/>
      <color rgb="FF3C3C3B"/>
      <name val="Arial"/>
      <family val="2"/>
    </font>
    <font>
      <b/>
      <sz val="22"/>
      <color rgb="FF0070C0"/>
      <name val="Arial"/>
      <family val="2"/>
    </font>
    <font>
      <b/>
      <sz val="11"/>
      <color theme="1"/>
      <name val="Calibri"/>
      <family val="2"/>
      <scheme val="minor"/>
    </font>
    <font>
      <b/>
      <sz val="11"/>
      <color rgb="FF3C3C3B"/>
      <name val="Arial"/>
      <family val="2"/>
    </font>
    <font>
      <sz val="8"/>
      <name val="Calibri"/>
      <family val="2"/>
      <scheme val="minor"/>
    </font>
    <font>
      <sz val="12"/>
      <color theme="1"/>
      <name val="Arial"/>
      <family val="2"/>
    </font>
    <font>
      <b/>
      <sz val="12"/>
      <color theme="1"/>
      <name val="Arial"/>
      <family val="2"/>
    </font>
    <font>
      <b/>
      <i/>
      <sz val="12"/>
      <color theme="1"/>
      <name val="Arial"/>
      <family val="2"/>
    </font>
    <font>
      <sz val="12"/>
      <color theme="1"/>
      <name val="Calibri"/>
      <family val="2"/>
      <scheme val="minor"/>
    </font>
    <font>
      <b/>
      <i/>
      <sz val="14"/>
      <color theme="0"/>
      <name val="Arial"/>
      <family val="2"/>
    </font>
  </fonts>
  <fills count="15">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00206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rgb="FF767676"/>
      </left>
      <right style="thin">
        <color rgb="FF767676"/>
      </right>
      <top style="thin">
        <color rgb="FF767676"/>
      </top>
      <bottom style="thin">
        <color rgb="FF767676"/>
      </bottom>
      <diagonal/>
    </border>
    <border>
      <left/>
      <right/>
      <top/>
      <bottom style="thin">
        <color rgb="FF767676"/>
      </bottom>
      <diagonal/>
    </border>
    <border>
      <left style="thin">
        <color rgb="FF3C3C3B"/>
      </left>
      <right style="thin">
        <color rgb="FF3C3C3B"/>
      </right>
      <top style="thin">
        <color rgb="FF3C3C3B"/>
      </top>
      <bottom style="thin">
        <color rgb="FF3C3C3B"/>
      </bottom>
      <diagonal/>
    </border>
    <border>
      <left style="thin">
        <color rgb="FF3C3C3B"/>
      </left>
      <right/>
      <top style="thin">
        <color rgb="FF3C3C3B"/>
      </top>
      <bottom style="thin">
        <color rgb="FF3C3C3B"/>
      </bottom>
      <diagonal/>
    </border>
    <border>
      <left/>
      <right/>
      <top style="thin">
        <color rgb="FF3C3C3B"/>
      </top>
      <bottom style="thin">
        <color rgb="FF3C3C3B"/>
      </bottom>
      <diagonal/>
    </border>
    <border>
      <left style="medium">
        <color indexed="64"/>
      </left>
      <right style="medium">
        <color indexed="64"/>
      </right>
      <top style="thin">
        <color rgb="FF3C3C3B"/>
      </top>
      <bottom style="thin">
        <color rgb="FF3C3C3B"/>
      </bottom>
      <diagonal/>
    </border>
    <border>
      <left style="medium">
        <color indexed="64"/>
      </left>
      <right style="medium">
        <color indexed="64"/>
      </right>
      <top style="thin">
        <color rgb="FF3C3C3B"/>
      </top>
      <bottom style="medium">
        <color indexed="64"/>
      </bottom>
      <diagonal/>
    </border>
    <border>
      <left/>
      <right/>
      <top style="thin">
        <color rgb="FF767676"/>
      </top>
      <bottom style="thin">
        <color rgb="FF767676"/>
      </bottom>
      <diagonal/>
    </border>
    <border>
      <left style="medium">
        <color indexed="64"/>
      </left>
      <right/>
      <top style="thin">
        <color rgb="FF767676"/>
      </top>
      <bottom style="thin">
        <color rgb="FF767676"/>
      </bottom>
      <diagonal/>
    </border>
    <border>
      <left/>
      <right style="medium">
        <color indexed="64"/>
      </right>
      <top style="thin">
        <color rgb="FF767676"/>
      </top>
      <bottom style="thin">
        <color rgb="FF767676"/>
      </bottom>
      <diagonal/>
    </border>
    <border>
      <left style="medium">
        <color indexed="64"/>
      </left>
      <right style="thin">
        <color rgb="FF767676"/>
      </right>
      <top style="thin">
        <color rgb="FF767676"/>
      </top>
      <bottom style="thin">
        <color rgb="FF767676"/>
      </bottom>
      <diagonal/>
    </border>
    <border>
      <left style="thin">
        <color rgb="FF767676"/>
      </left>
      <right style="medium">
        <color indexed="64"/>
      </right>
      <top style="thin">
        <color rgb="FF767676"/>
      </top>
      <bottom style="thin">
        <color rgb="FF767676"/>
      </bottom>
      <diagonal/>
    </border>
    <border>
      <left style="medium">
        <color indexed="64"/>
      </left>
      <right style="thin">
        <color rgb="FF767676"/>
      </right>
      <top style="thin">
        <color rgb="FF767676"/>
      </top>
      <bottom style="medium">
        <color indexed="64"/>
      </bottom>
      <diagonal/>
    </border>
    <border>
      <left style="thin">
        <color rgb="FF767676"/>
      </left>
      <right style="thin">
        <color rgb="FF767676"/>
      </right>
      <top style="thin">
        <color rgb="FF767676"/>
      </top>
      <bottom style="medium">
        <color indexed="64"/>
      </bottom>
      <diagonal/>
    </border>
    <border>
      <left style="thin">
        <color rgb="FF767676"/>
      </left>
      <right style="medium">
        <color indexed="64"/>
      </right>
      <top style="thin">
        <color rgb="FF767676"/>
      </top>
      <bottom style="medium">
        <color indexed="64"/>
      </bottom>
      <diagonal/>
    </border>
    <border>
      <left style="medium">
        <color indexed="64"/>
      </left>
      <right style="thin">
        <color rgb="FF767676"/>
      </right>
      <top style="medium">
        <color indexed="64"/>
      </top>
      <bottom style="thin">
        <color rgb="FF767676"/>
      </bottom>
      <diagonal/>
    </border>
    <border>
      <left style="thin">
        <color rgb="FF767676"/>
      </left>
      <right style="medium">
        <color indexed="64"/>
      </right>
      <top style="medium">
        <color indexed="64"/>
      </top>
      <bottom style="thin">
        <color rgb="FF767676"/>
      </bottom>
      <diagonal/>
    </border>
    <border>
      <left style="medium">
        <color indexed="64"/>
      </left>
      <right style="thin">
        <color rgb="FF3C3C3B"/>
      </right>
      <top style="medium">
        <color indexed="64"/>
      </top>
      <bottom style="thin">
        <color rgb="FF3C3C3B"/>
      </bottom>
      <diagonal/>
    </border>
    <border>
      <left style="thin">
        <color rgb="FF3C3C3B"/>
      </left>
      <right style="thin">
        <color rgb="FF3C3C3B"/>
      </right>
      <top style="medium">
        <color indexed="64"/>
      </top>
      <bottom style="thin">
        <color rgb="FF3C3C3B"/>
      </bottom>
      <diagonal/>
    </border>
    <border>
      <left style="thin">
        <color rgb="FF3C3C3B"/>
      </left>
      <right/>
      <top style="medium">
        <color indexed="64"/>
      </top>
      <bottom style="thin">
        <color rgb="FF3C3C3B"/>
      </bottom>
      <diagonal/>
    </border>
    <border>
      <left style="medium">
        <color indexed="64"/>
      </left>
      <right style="medium">
        <color indexed="64"/>
      </right>
      <top style="medium">
        <color indexed="64"/>
      </top>
      <bottom style="thin">
        <color rgb="FF3C3C3B"/>
      </bottom>
      <diagonal/>
    </border>
    <border>
      <left/>
      <right style="medium">
        <color indexed="64"/>
      </right>
      <top style="medium">
        <color indexed="64"/>
      </top>
      <bottom style="thin">
        <color rgb="FF3C3C3B"/>
      </bottom>
      <diagonal/>
    </border>
    <border>
      <left style="medium">
        <color indexed="64"/>
      </left>
      <right style="thin">
        <color rgb="FF3C3C3B"/>
      </right>
      <top style="thin">
        <color rgb="FF3C3C3B"/>
      </top>
      <bottom style="thin">
        <color rgb="FF3C3C3B"/>
      </bottom>
      <diagonal/>
    </border>
    <border>
      <left/>
      <right style="medium">
        <color indexed="64"/>
      </right>
      <top style="thin">
        <color rgb="FF3C3C3B"/>
      </top>
      <bottom style="thin">
        <color rgb="FF3C3C3B"/>
      </bottom>
      <diagonal/>
    </border>
    <border>
      <left style="medium">
        <color indexed="64"/>
      </left>
      <right style="thin">
        <color rgb="FF3C3C3B"/>
      </right>
      <top style="thin">
        <color rgb="FF3C3C3B"/>
      </top>
      <bottom style="medium">
        <color indexed="64"/>
      </bottom>
      <diagonal/>
    </border>
    <border>
      <left style="thin">
        <color rgb="FF3C3C3B"/>
      </left>
      <right/>
      <top style="thin">
        <color rgb="FF3C3C3B"/>
      </top>
      <bottom style="medium">
        <color indexed="64"/>
      </bottom>
      <diagonal/>
    </border>
    <border>
      <left/>
      <right/>
      <top style="thin">
        <color rgb="FF3C3C3B"/>
      </top>
      <bottom style="medium">
        <color indexed="64"/>
      </bottom>
      <diagonal/>
    </border>
    <border>
      <left/>
      <right style="medium">
        <color indexed="64"/>
      </right>
      <top style="thin">
        <color rgb="FF3C3C3B"/>
      </top>
      <bottom style="medium">
        <color indexed="64"/>
      </bottom>
      <diagonal/>
    </border>
    <border>
      <left style="medium">
        <color indexed="64"/>
      </left>
      <right style="medium">
        <color indexed="64"/>
      </right>
      <top/>
      <bottom/>
      <diagonal/>
    </border>
    <border>
      <left style="medium">
        <color indexed="64"/>
      </left>
      <right style="thin">
        <color rgb="FF3C3C3B"/>
      </right>
      <top style="medium">
        <color indexed="64"/>
      </top>
      <bottom/>
      <diagonal/>
    </border>
    <border>
      <left style="medium">
        <color indexed="64"/>
      </left>
      <right style="thin">
        <color rgb="FF3C3C3B"/>
      </right>
      <top/>
      <bottom/>
      <diagonal/>
    </border>
    <border>
      <left style="thin">
        <color rgb="FF3C3C3B"/>
      </left>
      <right style="medium">
        <color indexed="64"/>
      </right>
      <top style="thin">
        <color rgb="FF3C3C3B"/>
      </top>
      <bottom style="thin">
        <color rgb="FF3C3C3B"/>
      </bottom>
      <diagonal/>
    </border>
    <border>
      <left style="medium">
        <color indexed="64"/>
      </left>
      <right style="thin">
        <color rgb="FF3C3C3B"/>
      </right>
      <top/>
      <bottom style="medium">
        <color indexed="64"/>
      </bottom>
      <diagonal/>
    </border>
    <border>
      <left style="thin">
        <color rgb="FF3C3C3B"/>
      </left>
      <right style="thin">
        <color rgb="FF3C3C3B"/>
      </right>
      <top style="thin">
        <color rgb="FF3C3C3B"/>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rgb="FF767676"/>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rgb="FF767676"/>
      </right>
      <top style="thin">
        <color rgb="FF767676"/>
      </top>
      <bottom style="thin">
        <color rgb="FF767676"/>
      </bottom>
      <diagonal/>
    </border>
    <border>
      <left style="medium">
        <color indexed="64"/>
      </left>
      <right/>
      <top style="medium">
        <color indexed="64"/>
      </top>
      <bottom style="thin">
        <color rgb="FF767676"/>
      </bottom>
      <diagonal/>
    </border>
    <border>
      <left/>
      <right/>
      <top style="medium">
        <color indexed="64"/>
      </top>
      <bottom style="thin">
        <color rgb="FF767676"/>
      </bottom>
      <diagonal/>
    </border>
    <border>
      <left/>
      <right style="medium">
        <color indexed="64"/>
      </right>
      <top style="medium">
        <color indexed="64"/>
      </top>
      <bottom style="thin">
        <color rgb="FF767676"/>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767676"/>
      </left>
      <right style="thin">
        <color rgb="FF767676"/>
      </right>
      <top style="thin">
        <color rgb="FF767676"/>
      </top>
      <bottom/>
      <diagonal/>
    </border>
    <border>
      <left style="thin">
        <color rgb="FF767676"/>
      </left>
      <right style="medium">
        <color indexed="64"/>
      </right>
      <top style="thin">
        <color rgb="FF767676"/>
      </top>
      <bottom/>
      <diagonal/>
    </border>
    <border>
      <left style="medium">
        <color indexed="64"/>
      </left>
      <right/>
      <top style="thin">
        <color rgb="FF767676"/>
      </top>
      <bottom style="medium">
        <color indexed="64"/>
      </bottom>
      <diagonal/>
    </border>
    <border>
      <left style="medium">
        <color indexed="64"/>
      </left>
      <right style="medium">
        <color indexed="64"/>
      </right>
      <top style="thin">
        <color indexed="64"/>
      </top>
      <bottom style="thin">
        <color indexed="64"/>
      </bottom>
      <diagonal/>
    </border>
  </borders>
  <cellStyleXfs count="8">
    <xf numFmtId="0" fontId="0" fillId="0" borderId="0"/>
    <xf numFmtId="165"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2" fillId="0" borderId="0"/>
    <xf numFmtId="9"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cellStyleXfs>
  <cellXfs count="209">
    <xf numFmtId="0" fontId="0" fillId="0" borderId="0" xfId="0"/>
    <xf numFmtId="0" fontId="5"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166" fontId="12" fillId="0" borderId="7" xfId="1" applyNumberFormat="1" applyFont="1" applyFill="1" applyBorder="1" applyAlignment="1" applyProtection="1">
      <alignment horizontal="right" vertical="center"/>
      <protection hidden="1"/>
    </xf>
    <xf numFmtId="166" fontId="12" fillId="3" borderId="5" xfId="1" applyNumberFormat="1" applyFont="1" applyFill="1" applyBorder="1" applyAlignment="1" applyProtection="1">
      <alignment horizontal="right" vertical="center"/>
      <protection hidden="1"/>
    </xf>
    <xf numFmtId="9" fontId="6" fillId="4" borderId="2" xfId="0" applyNumberFormat="1" applyFont="1" applyFill="1" applyBorder="1" applyAlignment="1">
      <alignment horizontal="right" wrapText="1" readingOrder="1"/>
    </xf>
    <xf numFmtId="0" fontId="6" fillId="4" borderId="12" xfId="0" applyFont="1" applyFill="1" applyBorder="1" applyAlignment="1">
      <alignment wrapText="1" readingOrder="1"/>
    </xf>
    <xf numFmtId="9" fontId="6" fillId="4" borderId="13" xfId="0" applyNumberFormat="1" applyFont="1" applyFill="1" applyBorder="1" applyAlignment="1">
      <alignment horizontal="right" wrapText="1" readingOrder="1"/>
    </xf>
    <xf numFmtId="0" fontId="6" fillId="4" borderId="17" xfId="0" applyFont="1" applyFill="1" applyBorder="1" applyAlignment="1">
      <alignment horizontal="center" vertical="center"/>
    </xf>
    <xf numFmtId="0" fontId="6" fillId="4" borderId="18" xfId="0" applyFont="1" applyFill="1" applyBorder="1" applyAlignment="1">
      <alignment vertical="center" wrapText="1"/>
    </xf>
    <xf numFmtId="168" fontId="12" fillId="3" borderId="5" xfId="2" applyNumberFormat="1" applyFont="1" applyFill="1" applyBorder="1" applyAlignment="1" applyProtection="1">
      <alignment horizontal="right" vertical="center" wrapText="1"/>
      <protection hidden="1"/>
    </xf>
    <xf numFmtId="168" fontId="12" fillId="0" borderId="7" xfId="2" applyNumberFormat="1" applyFont="1" applyBorder="1" applyAlignment="1" applyProtection="1">
      <alignment horizontal="right" vertical="center" wrapText="1"/>
      <protection hidden="1"/>
    </xf>
    <xf numFmtId="0" fontId="15" fillId="4" borderId="4" xfId="0" applyFont="1" applyFill="1" applyBorder="1" applyAlignment="1" applyProtection="1">
      <alignment vertical="center"/>
      <protection hidden="1"/>
    </xf>
    <xf numFmtId="0" fontId="15" fillId="4" borderId="4" xfId="0" applyFont="1" applyFill="1" applyBorder="1" applyAlignment="1" applyProtection="1">
      <alignment horizontal="left" vertical="center" wrapText="1"/>
      <protection hidden="1"/>
    </xf>
    <xf numFmtId="0" fontId="18" fillId="0" borderId="0" xfId="0" applyFont="1" applyAlignment="1" applyProtection="1">
      <alignment vertical="center"/>
      <protection hidden="1"/>
    </xf>
    <xf numFmtId="0" fontId="15" fillId="4" borderId="20" xfId="0" applyFont="1" applyFill="1" applyBorder="1" applyAlignment="1" applyProtection="1">
      <alignment vertical="center"/>
      <protection hidden="1"/>
    </xf>
    <xf numFmtId="166" fontId="12" fillId="3" borderId="25" xfId="1" applyNumberFormat="1" applyFont="1" applyFill="1" applyBorder="1" applyAlignment="1" applyProtection="1">
      <alignment horizontal="right" vertical="center"/>
      <protection hidden="1"/>
    </xf>
    <xf numFmtId="168" fontId="12" fillId="3" borderId="21" xfId="2" applyNumberFormat="1" applyFont="1" applyFill="1" applyBorder="1" applyAlignment="1" applyProtection="1">
      <alignment horizontal="right" vertical="center" wrapText="1"/>
      <protection hidden="1"/>
    </xf>
    <xf numFmtId="168" fontId="12" fillId="0" borderId="22" xfId="2" applyNumberFormat="1" applyFont="1" applyBorder="1" applyAlignment="1" applyProtection="1">
      <alignment horizontal="right" vertical="center" wrapText="1"/>
      <protection hidden="1"/>
    </xf>
    <xf numFmtId="168" fontId="12" fillId="3" borderId="23" xfId="2" applyNumberFormat="1" applyFont="1" applyFill="1" applyBorder="1" applyAlignment="1" applyProtection="1">
      <alignment horizontal="right" vertical="center" wrapText="1"/>
      <protection hidden="1"/>
    </xf>
    <xf numFmtId="168" fontId="12" fillId="3" borderId="25" xfId="2" applyNumberFormat="1" applyFont="1" applyFill="1" applyBorder="1" applyAlignment="1" applyProtection="1">
      <alignment horizontal="right" vertical="center" wrapText="1"/>
      <protection hidden="1"/>
    </xf>
    <xf numFmtId="0" fontId="15" fillId="4" borderId="35" xfId="0" applyFont="1" applyFill="1" applyBorder="1" applyAlignment="1" applyProtection="1">
      <alignment vertical="center"/>
      <protection hidden="1"/>
    </xf>
    <xf numFmtId="168" fontId="12" fillId="3" borderId="27" xfId="2" applyNumberFormat="1" applyFont="1" applyFill="1" applyBorder="1" applyAlignment="1" applyProtection="1">
      <alignment horizontal="right" vertical="center" wrapText="1"/>
      <protection hidden="1"/>
    </xf>
    <xf numFmtId="168" fontId="12" fillId="0" borderId="8" xfId="2" applyNumberFormat="1" applyFont="1" applyBorder="1" applyAlignment="1" applyProtection="1">
      <alignment horizontal="right" vertical="center" wrapText="1"/>
      <protection hidden="1"/>
    </xf>
    <xf numFmtId="168" fontId="12" fillId="3" borderId="29" xfId="2" applyNumberFormat="1" applyFont="1" applyFill="1" applyBorder="1" applyAlignment="1" applyProtection="1">
      <alignment horizontal="right" vertical="center" wrapText="1"/>
      <protection hidden="1"/>
    </xf>
    <xf numFmtId="0" fontId="15" fillId="4" borderId="38" xfId="0" applyFont="1" applyFill="1" applyBorder="1" applyAlignment="1" applyProtection="1">
      <alignment vertical="center" wrapText="1"/>
      <protection hidden="1"/>
    </xf>
    <xf numFmtId="168" fontId="22" fillId="4" borderId="38" xfId="2" applyNumberFormat="1" applyFont="1" applyFill="1" applyBorder="1" applyAlignment="1" applyProtection="1">
      <alignment horizontal="right" vertical="center" wrapText="1"/>
      <protection hidden="1"/>
    </xf>
    <xf numFmtId="44" fontId="8" fillId="0" borderId="2" xfId="0" applyNumberFormat="1" applyFont="1" applyBorder="1" applyAlignment="1">
      <alignment horizontal="right" wrapText="1" readingOrder="1"/>
    </xf>
    <xf numFmtId="44" fontId="8" fillId="0" borderId="13" xfId="0" applyNumberFormat="1" applyFont="1" applyBorder="1" applyAlignment="1">
      <alignment horizontal="right" wrapText="1" readingOrder="1"/>
    </xf>
    <xf numFmtId="42" fontId="8" fillId="0" borderId="13" xfId="0" applyNumberFormat="1" applyFont="1" applyBorder="1" applyAlignment="1">
      <alignment vertical="center"/>
    </xf>
    <xf numFmtId="42" fontId="8" fillId="7" borderId="13" xfId="0" applyNumberFormat="1" applyFont="1" applyFill="1" applyBorder="1" applyAlignment="1">
      <alignment vertical="center"/>
    </xf>
    <xf numFmtId="0" fontId="8" fillId="7" borderId="14" xfId="0" applyFont="1" applyFill="1" applyBorder="1" applyAlignment="1">
      <alignment horizontal="left" vertical="center"/>
    </xf>
    <xf numFmtId="42" fontId="8" fillId="7" borderId="16" xfId="0" applyNumberFormat="1" applyFont="1" applyFill="1" applyBorder="1" applyAlignment="1">
      <alignment vertical="center"/>
    </xf>
    <xf numFmtId="44" fontId="8" fillId="7" borderId="2" xfId="0" applyNumberFormat="1" applyFont="1" applyFill="1" applyBorder="1" applyAlignment="1">
      <alignment horizontal="right" wrapText="1" readingOrder="1"/>
    </xf>
    <xf numFmtId="44" fontId="8" fillId="7" borderId="13" xfId="0" applyNumberFormat="1" applyFont="1" applyFill="1" applyBorder="1" applyAlignment="1">
      <alignment horizontal="right" wrapText="1" readingOrder="1"/>
    </xf>
    <xf numFmtId="44" fontId="8" fillId="7" borderId="15" xfId="0" applyNumberFormat="1" applyFont="1" applyFill="1" applyBorder="1" applyAlignment="1">
      <alignment horizontal="right" wrapText="1" readingOrder="1"/>
    </xf>
    <xf numFmtId="44" fontId="8" fillId="7" borderId="16" xfId="0" applyNumberFormat="1" applyFont="1" applyFill="1" applyBorder="1" applyAlignment="1">
      <alignment horizontal="right" wrapText="1" readingOrder="1"/>
    </xf>
    <xf numFmtId="0" fontId="2" fillId="0" borderId="0" xfId="0" applyFont="1" applyAlignment="1" applyProtection="1">
      <alignment vertical="center"/>
      <protection hidden="1"/>
    </xf>
    <xf numFmtId="0" fontId="2" fillId="0" borderId="1" xfId="0" applyFont="1" applyBorder="1" applyAlignment="1" applyProtection="1">
      <alignment vertical="center"/>
      <protection hidden="1"/>
    </xf>
    <xf numFmtId="44" fontId="2" fillId="0" borderId="1" xfId="0" applyNumberFormat="1" applyFont="1" applyBorder="1" applyAlignment="1" applyProtection="1">
      <alignment vertical="center"/>
      <protection hidden="1"/>
    </xf>
    <xf numFmtId="0" fontId="10" fillId="0" borderId="0" xfId="0" applyFont="1" applyAlignment="1" applyProtection="1">
      <alignment vertical="center"/>
      <protection hidden="1"/>
    </xf>
    <xf numFmtId="0" fontId="9" fillId="0" borderId="0" xfId="0" applyFont="1" applyAlignment="1" applyProtection="1">
      <alignment vertical="center"/>
      <protection hidden="1"/>
    </xf>
    <xf numFmtId="0" fontId="21" fillId="6" borderId="1" xfId="0" applyFont="1" applyFill="1" applyBorder="1" applyAlignment="1" applyProtection="1">
      <alignment horizontal="center" vertical="center"/>
      <protection hidden="1"/>
    </xf>
    <xf numFmtId="0" fontId="8" fillId="0" borderId="0" xfId="0" applyFont="1" applyAlignment="1" applyProtection="1">
      <alignment vertical="center"/>
      <protection hidden="1"/>
    </xf>
    <xf numFmtId="0" fontId="12" fillId="5" borderId="1" xfId="0" applyFont="1" applyFill="1" applyBorder="1" applyAlignment="1" applyProtection="1">
      <alignment horizontal="center" vertical="center"/>
      <protection locked="0"/>
    </xf>
    <xf numFmtId="0" fontId="16" fillId="0" borderId="5" xfId="0" applyFont="1" applyBorder="1" applyAlignment="1" applyProtection="1">
      <alignment vertical="center" wrapText="1"/>
      <protection hidden="1"/>
    </xf>
    <xf numFmtId="0" fontId="13" fillId="0" borderId="6" xfId="0" applyFont="1" applyBorder="1" applyAlignment="1" applyProtection="1">
      <alignment vertical="center" wrapText="1"/>
      <protection hidden="1"/>
    </xf>
    <xf numFmtId="0" fontId="13" fillId="0" borderId="7" xfId="0" applyFont="1" applyBorder="1" applyAlignment="1" applyProtection="1">
      <alignment vertical="center" wrapText="1"/>
      <protection hidden="1"/>
    </xf>
    <xf numFmtId="0" fontId="13" fillId="0" borderId="25" xfId="0" applyFont="1" applyBorder="1" applyAlignment="1" applyProtection="1">
      <alignment vertical="center" wrapText="1"/>
      <protection hidden="1"/>
    </xf>
    <xf numFmtId="0" fontId="16" fillId="0" borderId="27" xfId="0" applyFont="1" applyBorder="1" applyAlignment="1" applyProtection="1">
      <alignment vertical="center" wrapText="1"/>
      <protection hidden="1"/>
    </xf>
    <xf numFmtId="0" fontId="8" fillId="0" borderId="28" xfId="0" applyFont="1" applyBorder="1" applyAlignment="1" applyProtection="1">
      <alignment vertical="center" wrapText="1"/>
      <protection hidden="1"/>
    </xf>
    <xf numFmtId="0" fontId="8" fillId="0" borderId="8" xfId="0" applyFont="1" applyBorder="1" applyAlignment="1" applyProtection="1">
      <alignment vertical="center" wrapText="1"/>
      <protection hidden="1"/>
    </xf>
    <xf numFmtId="0" fontId="8" fillId="0" borderId="29" xfId="0" applyFont="1" applyBorder="1" applyAlignment="1" applyProtection="1">
      <alignment vertical="center" wrapText="1"/>
      <protection hidden="1"/>
    </xf>
    <xf numFmtId="0" fontId="20" fillId="0" borderId="0" xfId="0" applyFont="1" applyAlignment="1" applyProtection="1">
      <alignment vertical="center"/>
      <protection hidden="1"/>
    </xf>
    <xf numFmtId="0" fontId="16" fillId="0" borderId="0" xfId="0" applyFont="1" applyAlignment="1" applyProtection="1">
      <alignment vertical="center" wrapText="1"/>
      <protection hidden="1"/>
    </xf>
    <xf numFmtId="0" fontId="14" fillId="0" borderId="0" xfId="0" applyFont="1" applyAlignment="1" applyProtection="1">
      <alignment vertical="center" wrapText="1"/>
      <protection hidden="1"/>
    </xf>
    <xf numFmtId="0" fontId="14" fillId="0" borderId="30" xfId="0" applyFont="1" applyBorder="1" applyAlignment="1" applyProtection="1">
      <alignment vertical="center" wrapText="1"/>
      <protection hidden="1"/>
    </xf>
    <xf numFmtId="0" fontId="8" fillId="0" borderId="6" xfId="0" applyFont="1" applyBorder="1" applyAlignment="1" applyProtection="1">
      <alignment vertical="center" wrapText="1"/>
      <protection hidden="1"/>
    </xf>
    <xf numFmtId="0" fontId="8" fillId="0" borderId="7" xfId="0" applyFont="1" applyBorder="1" applyAlignment="1" applyProtection="1">
      <alignment vertical="center" wrapText="1"/>
      <protection hidden="1"/>
    </xf>
    <xf numFmtId="0" fontId="8" fillId="0" borderId="25" xfId="0" applyFont="1" applyBorder="1" applyAlignment="1" applyProtection="1">
      <alignment vertical="center" wrapText="1"/>
      <protection hidden="1"/>
    </xf>
    <xf numFmtId="0" fontId="16" fillId="0" borderId="4" xfId="0" applyFont="1" applyBorder="1" applyAlignment="1" applyProtection="1">
      <alignment vertical="center" wrapText="1"/>
      <protection hidden="1"/>
    </xf>
    <xf numFmtId="0" fontId="8" fillId="0" borderId="5" xfId="0" applyFont="1" applyBorder="1" applyAlignment="1" applyProtection="1">
      <alignment vertical="center"/>
      <protection hidden="1"/>
    </xf>
    <xf numFmtId="0" fontId="8" fillId="0" borderId="33" xfId="0" applyFont="1" applyBorder="1" applyAlignment="1" applyProtection="1">
      <alignment vertical="center"/>
      <protection hidden="1"/>
    </xf>
    <xf numFmtId="0" fontId="8" fillId="0" borderId="7" xfId="0" applyFont="1" applyBorder="1" applyAlignment="1" applyProtection="1">
      <alignment vertical="center"/>
      <protection hidden="1"/>
    </xf>
    <xf numFmtId="0" fontId="8" fillId="0" borderId="25" xfId="0" applyFont="1" applyBorder="1" applyAlignment="1" applyProtection="1">
      <alignment vertical="center"/>
      <protection hidden="1"/>
    </xf>
    <xf numFmtId="0" fontId="16" fillId="0" borderId="6" xfId="0" applyFont="1" applyBorder="1" applyAlignment="1" applyProtection="1">
      <alignment vertical="center" wrapText="1"/>
      <protection hidden="1"/>
    </xf>
    <xf numFmtId="0" fontId="16" fillId="0" borderId="7" xfId="0" applyFont="1" applyBorder="1" applyAlignment="1" applyProtection="1">
      <alignment vertical="center" wrapText="1"/>
      <protection hidden="1"/>
    </xf>
    <xf numFmtId="0" fontId="16" fillId="0" borderId="25" xfId="0" applyFont="1" applyBorder="1" applyAlignment="1" applyProtection="1">
      <alignment vertical="center" wrapText="1"/>
      <protection hidden="1"/>
    </xf>
    <xf numFmtId="167" fontId="12" fillId="0" borderId="6" xfId="0" applyNumberFormat="1" applyFont="1" applyBorder="1" applyAlignment="1" applyProtection="1">
      <alignment vertical="center"/>
      <protection hidden="1"/>
    </xf>
    <xf numFmtId="167" fontId="12" fillId="0" borderId="7" xfId="0" applyNumberFormat="1" applyFont="1" applyBorder="1" applyAlignment="1" applyProtection="1">
      <alignment vertical="center"/>
      <protection hidden="1"/>
    </xf>
    <xf numFmtId="167" fontId="12" fillId="0" borderId="25" xfId="0" applyNumberFormat="1" applyFont="1" applyBorder="1" applyAlignment="1" applyProtection="1">
      <alignment vertical="center"/>
      <protection hidden="1"/>
    </xf>
    <xf numFmtId="0" fontId="2" fillId="4" borderId="37" xfId="0" applyFont="1" applyFill="1" applyBorder="1" applyAlignment="1" applyProtection="1">
      <alignment vertical="center"/>
      <protection hidden="1"/>
    </xf>
    <xf numFmtId="0" fontId="3" fillId="0" borderId="0" xfId="0" applyFont="1" applyAlignment="1" applyProtection="1">
      <alignment vertical="center"/>
      <protection hidden="1"/>
    </xf>
    <xf numFmtId="0" fontId="4" fillId="0" borderId="0" xfId="0" applyFont="1" applyAlignment="1" applyProtection="1">
      <alignment vertical="center" wrapText="1"/>
      <protection hidden="1"/>
    </xf>
    <xf numFmtId="0" fontId="12" fillId="6" borderId="1" xfId="0" applyFont="1" applyFill="1" applyBorder="1" applyAlignment="1" applyProtection="1">
      <alignment horizontal="center" vertical="center"/>
      <protection hidden="1"/>
    </xf>
    <xf numFmtId="44" fontId="12" fillId="3" borderId="5" xfId="2" applyFont="1" applyFill="1" applyBorder="1" applyAlignment="1" applyProtection="1">
      <alignment horizontal="right" vertical="center" wrapText="1"/>
      <protection hidden="1"/>
    </xf>
    <xf numFmtId="44" fontId="12" fillId="0" borderId="7" xfId="2" applyFont="1" applyBorder="1" applyAlignment="1" applyProtection="1">
      <alignment horizontal="right" vertical="center" wrapText="1"/>
      <protection hidden="1"/>
    </xf>
    <xf numFmtId="44" fontId="12" fillId="3" borderId="25" xfId="2" applyFont="1" applyFill="1" applyBorder="1" applyAlignment="1" applyProtection="1">
      <alignment horizontal="right" vertical="center" wrapText="1"/>
      <protection hidden="1"/>
    </xf>
    <xf numFmtId="166" fontId="0" fillId="0" borderId="0" xfId="1" applyNumberFormat="1" applyFont="1"/>
    <xf numFmtId="44" fontId="0" fillId="0" borderId="0" xfId="2" applyFont="1"/>
    <xf numFmtId="169" fontId="0" fillId="0" borderId="0" xfId="0" applyNumberFormat="1"/>
    <xf numFmtId="3" fontId="0" fillId="0" borderId="0" xfId="0" applyNumberFormat="1" applyAlignment="1">
      <alignment horizontal="center"/>
    </xf>
    <xf numFmtId="0" fontId="26" fillId="0" borderId="41" xfId="0" applyFont="1" applyBorder="1"/>
    <xf numFmtId="169" fontId="26" fillId="0" borderId="42" xfId="0" applyNumberFormat="1" applyFont="1" applyBorder="1"/>
    <xf numFmtId="0" fontId="26" fillId="0" borderId="43" xfId="0" applyFont="1" applyBorder="1" applyAlignment="1">
      <alignment horizontal="center"/>
    </xf>
    <xf numFmtId="164" fontId="26" fillId="0" borderId="44" xfId="0" applyNumberFormat="1" applyFont="1" applyBorder="1"/>
    <xf numFmtId="166" fontId="0" fillId="0" borderId="0" xfId="1" applyNumberFormat="1" applyFont="1" applyAlignment="1">
      <alignment horizontal="center"/>
    </xf>
    <xf numFmtId="3" fontId="26" fillId="0" borderId="0" xfId="0" applyNumberFormat="1" applyFont="1" applyAlignment="1">
      <alignment horizontal="center"/>
    </xf>
    <xf numFmtId="166" fontId="26" fillId="0" borderId="0" xfId="1" applyNumberFormat="1" applyFont="1" applyAlignment="1">
      <alignment horizontal="center"/>
    </xf>
    <xf numFmtId="0" fontId="26" fillId="0" borderId="45" xfId="0" applyFont="1" applyBorder="1"/>
    <xf numFmtId="0" fontId="26" fillId="0" borderId="30" xfId="0" applyFont="1" applyBorder="1" applyAlignment="1">
      <alignment horizontal="center"/>
    </xf>
    <xf numFmtId="44" fontId="0" fillId="0" borderId="0" xfId="2" applyFont="1" applyAlignment="1">
      <alignment horizontal="center"/>
    </xf>
    <xf numFmtId="3" fontId="0" fillId="9" borderId="44" xfId="0" applyNumberFormat="1" applyFill="1" applyBorder="1" applyAlignment="1">
      <alignment horizontal="center"/>
    </xf>
    <xf numFmtId="3" fontId="0" fillId="10" borderId="44" xfId="0" applyNumberFormat="1" applyFill="1" applyBorder="1" applyAlignment="1">
      <alignment horizontal="center"/>
    </xf>
    <xf numFmtId="3" fontId="0" fillId="11" borderId="44" xfId="0" applyNumberFormat="1" applyFill="1" applyBorder="1" applyAlignment="1">
      <alignment horizontal="center"/>
    </xf>
    <xf numFmtId="3" fontId="0" fillId="6" borderId="44" xfId="0" applyNumberFormat="1" applyFill="1" applyBorder="1" applyAlignment="1">
      <alignment horizontal="center"/>
    </xf>
    <xf numFmtId="3" fontId="0" fillId="6" borderId="0" xfId="0" applyNumberFormat="1" applyFill="1" applyAlignment="1">
      <alignment horizontal="center"/>
    </xf>
    <xf numFmtId="3" fontId="26" fillId="6" borderId="0" xfId="0" applyNumberFormat="1" applyFont="1" applyFill="1" applyAlignment="1">
      <alignment horizontal="right"/>
    </xf>
    <xf numFmtId="3" fontId="26" fillId="8" borderId="40" xfId="0" applyNumberFormat="1" applyFont="1" applyFill="1" applyBorder="1" applyAlignment="1">
      <alignment horizontal="center"/>
    </xf>
    <xf numFmtId="166" fontId="26" fillId="8" borderId="40" xfId="1" applyNumberFormat="1" applyFont="1" applyFill="1" applyBorder="1" applyAlignment="1">
      <alignment horizontal="center"/>
    </xf>
    <xf numFmtId="3" fontId="0" fillId="6" borderId="0" xfId="0" applyNumberFormat="1" applyFill="1" applyAlignment="1">
      <alignment horizontal="right"/>
    </xf>
    <xf numFmtId="168" fontId="26" fillId="0" borderId="0" xfId="2" applyNumberFormat="1" applyFont="1"/>
    <xf numFmtId="3" fontId="26" fillId="11" borderId="0" xfId="0" applyNumberFormat="1" applyFont="1" applyFill="1" applyAlignment="1">
      <alignment horizontal="right"/>
    </xf>
    <xf numFmtId="3" fontId="0" fillId="11" borderId="0" xfId="0" applyNumberFormat="1" applyFill="1" applyAlignment="1">
      <alignment horizontal="right"/>
    </xf>
    <xf numFmtId="3" fontId="26" fillId="10" borderId="0" xfId="0" applyNumberFormat="1" applyFont="1" applyFill="1" applyAlignment="1">
      <alignment horizontal="right"/>
    </xf>
    <xf numFmtId="3" fontId="0" fillId="10" borderId="0" xfId="0" applyNumberFormat="1" applyFill="1" applyAlignment="1">
      <alignment horizontal="right"/>
    </xf>
    <xf numFmtId="3" fontId="0" fillId="0" borderId="0" xfId="0" applyNumberFormat="1" applyAlignment="1">
      <alignment horizontal="right"/>
    </xf>
    <xf numFmtId="3" fontId="26" fillId="9" borderId="0" xfId="0" applyNumberFormat="1" applyFont="1" applyFill="1" applyAlignment="1">
      <alignment horizontal="right"/>
    </xf>
    <xf numFmtId="3" fontId="0" fillId="9" borderId="0" xfId="0" applyNumberFormat="1" applyFill="1" applyAlignment="1">
      <alignment horizontal="right"/>
    </xf>
    <xf numFmtId="3" fontId="26" fillId="6" borderId="30" xfId="0" applyNumberFormat="1" applyFont="1" applyFill="1" applyBorder="1" applyAlignment="1">
      <alignment horizontal="center"/>
    </xf>
    <xf numFmtId="3" fontId="26" fillId="11" borderId="30" xfId="0" applyNumberFormat="1" applyFont="1" applyFill="1" applyBorder="1" applyAlignment="1">
      <alignment horizontal="center"/>
    </xf>
    <xf numFmtId="3" fontId="26" fillId="10" borderId="30" xfId="0" applyNumberFormat="1" applyFont="1" applyFill="1" applyBorder="1" applyAlignment="1">
      <alignment horizontal="center"/>
    </xf>
    <xf numFmtId="3" fontId="26" fillId="9" borderId="30" xfId="0" applyNumberFormat="1" applyFont="1" applyFill="1" applyBorder="1" applyAlignment="1">
      <alignment horizontal="center"/>
    </xf>
    <xf numFmtId="3" fontId="12" fillId="12" borderId="21" xfId="0" applyNumberFormat="1" applyFont="1" applyFill="1" applyBorder="1" applyAlignment="1" applyProtection="1">
      <alignment horizontal="right" vertical="center" wrapText="1"/>
      <protection locked="0"/>
    </xf>
    <xf numFmtId="3" fontId="12" fillId="12" borderId="22" xfId="0" applyNumberFormat="1" applyFont="1" applyFill="1" applyBorder="1" applyAlignment="1" applyProtection="1">
      <alignment horizontal="right" vertical="center" wrapText="1"/>
      <protection hidden="1"/>
    </xf>
    <xf numFmtId="3" fontId="12" fillId="12" borderId="23" xfId="0" applyNumberFormat="1" applyFont="1" applyFill="1" applyBorder="1" applyAlignment="1" applyProtection="1">
      <alignment horizontal="right" vertical="center" wrapText="1"/>
      <protection hidden="1"/>
    </xf>
    <xf numFmtId="0" fontId="9" fillId="12" borderId="0" xfId="0" applyFont="1" applyFill="1" applyAlignment="1" applyProtection="1">
      <alignment vertical="center"/>
      <protection hidden="1"/>
    </xf>
    <xf numFmtId="0" fontId="24" fillId="0" borderId="0" xfId="0" applyFont="1" applyAlignment="1" applyProtection="1">
      <alignment wrapText="1"/>
      <protection hidden="1"/>
    </xf>
    <xf numFmtId="0" fontId="27" fillId="0" borderId="0" xfId="0" applyFont="1" applyAlignment="1" applyProtection="1">
      <alignment horizontal="center" vertical="center"/>
      <protection hidden="1"/>
    </xf>
    <xf numFmtId="9" fontId="12" fillId="12" borderId="5" xfId="0" applyNumberFormat="1" applyFont="1" applyFill="1" applyBorder="1" applyAlignment="1" applyProtection="1">
      <alignment horizontal="right" vertical="center" wrapText="1"/>
      <protection locked="0"/>
    </xf>
    <xf numFmtId="9" fontId="12" fillId="12" borderId="7" xfId="0" applyNumberFormat="1" applyFont="1" applyFill="1" applyBorder="1" applyAlignment="1" applyProtection="1">
      <alignment horizontal="right" vertical="center" wrapText="1"/>
      <protection locked="0"/>
    </xf>
    <xf numFmtId="9" fontId="12" fillId="12" borderId="25" xfId="0" applyNumberFormat="1" applyFont="1" applyFill="1" applyBorder="1" applyAlignment="1" applyProtection="1">
      <alignment horizontal="right" vertical="center" wrapText="1"/>
      <protection locked="0"/>
    </xf>
    <xf numFmtId="4" fontId="3" fillId="0" borderId="0" xfId="0" applyNumberFormat="1" applyFont="1" applyAlignment="1" applyProtection="1">
      <alignment vertical="center"/>
      <protection hidden="1"/>
    </xf>
    <xf numFmtId="3" fontId="8" fillId="0" borderId="12" xfId="0" applyNumberFormat="1" applyFont="1" applyBorder="1" applyAlignment="1">
      <alignment horizontal="left" vertical="center"/>
    </xf>
    <xf numFmtId="3" fontId="8" fillId="7" borderId="12" xfId="0" applyNumberFormat="1" applyFont="1" applyFill="1" applyBorder="1" applyAlignment="1">
      <alignment horizontal="left" vertical="center"/>
    </xf>
    <xf numFmtId="10" fontId="0" fillId="0" borderId="0" xfId="3" applyNumberFormat="1" applyFont="1" applyAlignment="1">
      <alignment horizontal="center"/>
    </xf>
    <xf numFmtId="3" fontId="0" fillId="0" borderId="0" xfId="0" applyNumberFormat="1"/>
    <xf numFmtId="0" fontId="6" fillId="4" borderId="46" xfId="0" applyFont="1" applyFill="1" applyBorder="1" applyAlignment="1">
      <alignment wrapText="1" readingOrder="1"/>
    </xf>
    <xf numFmtId="166" fontId="0" fillId="0" borderId="0" xfId="0" applyNumberFormat="1"/>
    <xf numFmtId="0" fontId="6" fillId="4" borderId="12" xfId="0" applyFont="1" applyFill="1" applyBorder="1" applyAlignment="1">
      <alignment readingOrder="1"/>
    </xf>
    <xf numFmtId="0" fontId="6" fillId="4" borderId="11" xfId="0" applyFont="1" applyFill="1" applyBorder="1" applyAlignment="1">
      <alignment wrapText="1" readingOrder="1"/>
    </xf>
    <xf numFmtId="3" fontId="9" fillId="0" borderId="12" xfId="0" applyNumberFormat="1" applyFont="1" applyBorder="1" applyAlignment="1">
      <alignment horizontal="right" wrapText="1" readingOrder="1"/>
    </xf>
    <xf numFmtId="3" fontId="9" fillId="7" borderId="12" xfId="0" applyNumberFormat="1" applyFont="1" applyFill="1" applyBorder="1" applyAlignment="1">
      <alignment horizontal="right" wrapText="1" readingOrder="1"/>
    </xf>
    <xf numFmtId="3" fontId="9" fillId="7" borderId="14" xfId="0" applyNumberFormat="1" applyFont="1" applyFill="1" applyBorder="1" applyAlignment="1">
      <alignment horizontal="right" wrapText="1" readingOrder="1"/>
    </xf>
    <xf numFmtId="0" fontId="29" fillId="0" borderId="0" xfId="0" applyFont="1"/>
    <xf numFmtId="169" fontId="30" fillId="0" borderId="0" xfId="0" applyNumberFormat="1" applyFont="1"/>
    <xf numFmtId="0" fontId="31" fillId="14" borderId="1" xfId="0" applyFont="1" applyFill="1" applyBorder="1"/>
    <xf numFmtId="166" fontId="29" fillId="14" borderId="1" xfId="1" applyNumberFormat="1" applyFont="1" applyFill="1" applyBorder="1"/>
    <xf numFmtId="168" fontId="30" fillId="14" borderId="1" xfId="0" applyNumberFormat="1" applyFont="1" applyFill="1" applyBorder="1"/>
    <xf numFmtId="0" fontId="30" fillId="0" borderId="43" xfId="0" applyFont="1" applyBorder="1" applyAlignment="1">
      <alignment horizontal="center"/>
    </xf>
    <xf numFmtId="0" fontId="30" fillId="0" borderId="45" xfId="0" applyFont="1" applyBorder="1"/>
    <xf numFmtId="0" fontId="30" fillId="0" borderId="30" xfId="0" applyFont="1" applyBorder="1" applyAlignment="1">
      <alignment horizontal="center"/>
    </xf>
    <xf numFmtId="0" fontId="30" fillId="0" borderId="41" xfId="0" applyFont="1" applyBorder="1" applyAlignment="1">
      <alignment horizontal="center"/>
    </xf>
    <xf numFmtId="3" fontId="29" fillId="12" borderId="1" xfId="0" applyNumberFormat="1" applyFont="1" applyFill="1" applyBorder="1" applyAlignment="1">
      <alignment horizontal="right"/>
    </xf>
    <xf numFmtId="0" fontId="29" fillId="0" borderId="41" xfId="0" applyFont="1" applyBorder="1"/>
    <xf numFmtId="3" fontId="9" fillId="7" borderId="10" xfId="0" applyNumberFormat="1" applyFont="1" applyFill="1" applyBorder="1" applyAlignment="1">
      <alignment horizontal="right" wrapText="1" readingOrder="1"/>
    </xf>
    <xf numFmtId="44" fontId="9" fillId="7" borderId="1" xfId="2" applyFont="1" applyFill="1" applyBorder="1" applyAlignment="1">
      <alignment horizontal="right" readingOrder="1"/>
    </xf>
    <xf numFmtId="44" fontId="9" fillId="7" borderId="50" xfId="2" applyFont="1" applyFill="1" applyBorder="1" applyAlignment="1">
      <alignment horizontal="right" readingOrder="1"/>
    </xf>
    <xf numFmtId="3" fontId="9" fillId="0" borderId="12" xfId="0" applyNumberFormat="1" applyFont="1" applyBorder="1" applyAlignment="1">
      <alignment horizontal="right" readingOrder="1"/>
    </xf>
    <xf numFmtId="9" fontId="6" fillId="4" borderId="53" xfId="0" applyNumberFormat="1" applyFont="1" applyFill="1" applyBorder="1" applyAlignment="1">
      <alignment horizontal="right" readingOrder="1"/>
    </xf>
    <xf numFmtId="9" fontId="6" fillId="4" borderId="54" xfId="0" applyNumberFormat="1" applyFont="1" applyFill="1" applyBorder="1" applyAlignment="1">
      <alignment horizontal="right" readingOrder="1"/>
    </xf>
    <xf numFmtId="3" fontId="9" fillId="7" borderId="10" xfId="0" applyNumberFormat="1" applyFont="1" applyFill="1" applyBorder="1" applyAlignment="1">
      <alignment horizontal="right" readingOrder="1"/>
    </xf>
    <xf numFmtId="3" fontId="9" fillId="7" borderId="1" xfId="0" applyNumberFormat="1" applyFont="1" applyFill="1" applyBorder="1" applyAlignment="1">
      <alignment horizontal="right" readingOrder="1"/>
    </xf>
    <xf numFmtId="3" fontId="9" fillId="7" borderId="50" xfId="0" applyNumberFormat="1" applyFont="1" applyFill="1" applyBorder="1" applyAlignment="1">
      <alignment horizontal="right" readingOrder="1"/>
    </xf>
    <xf numFmtId="3" fontId="9" fillId="0" borderId="10" xfId="0" applyNumberFormat="1" applyFont="1" applyBorder="1" applyAlignment="1">
      <alignment horizontal="right" readingOrder="1"/>
    </xf>
    <xf numFmtId="3" fontId="9" fillId="0" borderId="1" xfId="0" applyNumberFormat="1" applyFont="1" applyBorder="1" applyAlignment="1">
      <alignment horizontal="right" readingOrder="1"/>
    </xf>
    <xf numFmtId="3" fontId="9" fillId="0" borderId="50" xfId="0" applyNumberFormat="1" applyFont="1" applyBorder="1" applyAlignment="1">
      <alignment horizontal="right" readingOrder="1"/>
    </xf>
    <xf numFmtId="3" fontId="9" fillId="0" borderId="55" xfId="0" applyNumberFormat="1" applyFont="1" applyBorder="1" applyAlignment="1">
      <alignment horizontal="center" readingOrder="1"/>
    </xf>
    <xf numFmtId="168" fontId="9" fillId="0" borderId="51" xfId="2" applyNumberFormat="1" applyFont="1" applyBorder="1" applyAlignment="1">
      <alignment horizontal="right" readingOrder="1"/>
    </xf>
    <xf numFmtId="168" fontId="9" fillId="0" borderId="52" xfId="2" applyNumberFormat="1" applyFont="1" applyBorder="1" applyAlignment="1">
      <alignment horizontal="right" readingOrder="1"/>
    </xf>
    <xf numFmtId="169" fontId="30" fillId="13" borderId="42" xfId="0" applyNumberFormat="1" applyFont="1" applyFill="1" applyBorder="1"/>
    <xf numFmtId="44" fontId="30" fillId="13" borderId="44" xfId="0" applyNumberFormat="1" applyFont="1" applyFill="1" applyBorder="1"/>
    <xf numFmtId="0" fontId="17" fillId="0" borderId="0" xfId="0" applyFont="1" applyAlignment="1">
      <alignment horizontal="center" vertical="center"/>
    </xf>
    <xf numFmtId="44" fontId="30" fillId="0" borderId="0" xfId="0" applyNumberFormat="1" applyFont="1"/>
    <xf numFmtId="0" fontId="0" fillId="0" borderId="0" xfId="0" applyAlignment="1">
      <alignment wrapText="1"/>
    </xf>
    <xf numFmtId="3" fontId="29" fillId="0" borderId="43" xfId="0" applyNumberFormat="1" applyFont="1" applyBorder="1" applyAlignment="1">
      <alignment horizontal="center" wrapText="1"/>
    </xf>
    <xf numFmtId="0" fontId="30" fillId="13" borderId="40" xfId="0" applyFont="1" applyFill="1" applyBorder="1" applyAlignment="1">
      <alignment horizontal="right"/>
    </xf>
    <xf numFmtId="3" fontId="30" fillId="9" borderId="40" xfId="0" applyNumberFormat="1" applyFont="1" applyFill="1" applyBorder="1" applyAlignment="1">
      <alignment horizontal="right"/>
    </xf>
    <xf numFmtId="3" fontId="30" fillId="9" borderId="37" xfId="0" applyNumberFormat="1" applyFont="1" applyFill="1" applyBorder="1" applyAlignment="1">
      <alignment horizontal="right"/>
    </xf>
    <xf numFmtId="0" fontId="30" fillId="13" borderId="37" xfId="0" applyFont="1" applyFill="1" applyBorder="1" applyAlignment="1">
      <alignment horizontal="right"/>
    </xf>
    <xf numFmtId="44" fontId="30" fillId="13" borderId="1" xfId="0" applyNumberFormat="1" applyFont="1" applyFill="1" applyBorder="1"/>
    <xf numFmtId="166" fontId="26" fillId="0" borderId="0" xfId="1" applyNumberFormat="1" applyFont="1" applyFill="1" applyAlignment="1">
      <alignment horizontal="center"/>
    </xf>
    <xf numFmtId="44" fontId="0" fillId="0" borderId="0" xfId="2" applyFont="1" applyFill="1" applyAlignment="1">
      <alignment horizontal="center"/>
    </xf>
    <xf numFmtId="166" fontId="0" fillId="0" borderId="0" xfId="1" applyNumberFormat="1" applyFont="1" applyFill="1" applyAlignment="1">
      <alignment horizontal="center"/>
    </xf>
    <xf numFmtId="3" fontId="29" fillId="12" borderId="56" xfId="0" applyNumberFormat="1" applyFont="1" applyFill="1" applyBorder="1" applyAlignment="1">
      <alignment horizontal="right"/>
    </xf>
    <xf numFmtId="3" fontId="30" fillId="0" borderId="1" xfId="0" applyNumberFormat="1" applyFont="1" applyBorder="1" applyAlignment="1">
      <alignment horizontal="center" wrapText="1"/>
    </xf>
    <xf numFmtId="3" fontId="30" fillId="6" borderId="1" xfId="0" applyNumberFormat="1" applyFont="1" applyFill="1" applyBorder="1" applyAlignment="1">
      <alignment horizontal="center" wrapText="1"/>
    </xf>
    <xf numFmtId="0" fontId="25" fillId="0" borderId="0" xfId="0" applyFont="1" applyAlignment="1" applyProtection="1">
      <alignment horizontal="center" vertical="center" wrapText="1"/>
      <protection hidden="1"/>
    </xf>
    <xf numFmtId="0" fontId="25" fillId="0" borderId="0" xfId="0" applyFont="1" applyAlignment="1" applyProtection="1">
      <alignment horizontal="center" vertical="center"/>
      <protection hidden="1"/>
    </xf>
    <xf numFmtId="3" fontId="19" fillId="6" borderId="19" xfId="0" applyNumberFormat="1" applyFont="1" applyFill="1" applyBorder="1" applyAlignment="1" applyProtection="1">
      <alignment horizontal="center" vertical="center" textRotation="90" wrapText="1"/>
      <protection hidden="1"/>
    </xf>
    <xf numFmtId="3" fontId="19" fillId="6" borderId="24" xfId="0" applyNumberFormat="1" applyFont="1" applyFill="1" applyBorder="1" applyAlignment="1" applyProtection="1">
      <alignment horizontal="center" vertical="center" textRotation="90" wrapText="1"/>
      <protection hidden="1"/>
    </xf>
    <xf numFmtId="3" fontId="19" fillId="6" borderId="26" xfId="0" applyNumberFormat="1" applyFont="1" applyFill="1" applyBorder="1" applyAlignment="1" applyProtection="1">
      <alignment horizontal="center" vertical="center" textRotation="90" wrapText="1"/>
      <protection hidden="1"/>
    </xf>
    <xf numFmtId="167" fontId="19" fillId="6" borderId="31" xfId="0" applyNumberFormat="1" applyFont="1" applyFill="1" applyBorder="1" applyAlignment="1" applyProtection="1">
      <alignment horizontal="center" vertical="center" textRotation="90" wrapText="1"/>
      <protection hidden="1"/>
    </xf>
    <xf numFmtId="167" fontId="19" fillId="6" borderId="32" xfId="0" applyNumberFormat="1" applyFont="1" applyFill="1" applyBorder="1" applyAlignment="1" applyProtection="1">
      <alignment horizontal="center" vertical="center" textRotation="90" wrapText="1"/>
      <protection hidden="1"/>
    </xf>
    <xf numFmtId="167" fontId="19" fillId="6" borderId="34" xfId="0" applyNumberFormat="1" applyFont="1" applyFill="1" applyBorder="1" applyAlignment="1" applyProtection="1">
      <alignment horizontal="center" vertical="center" textRotation="90" wrapText="1"/>
      <protection hidden="1"/>
    </xf>
    <xf numFmtId="0" fontId="12" fillId="0" borderId="4" xfId="0" applyFont="1" applyBorder="1" applyAlignment="1" applyProtection="1">
      <alignment horizontal="left" vertical="top" wrapText="1"/>
      <protection hidden="1"/>
    </xf>
    <xf numFmtId="0" fontId="23" fillId="0" borderId="4" xfId="0" applyFont="1" applyBorder="1" applyAlignment="1" applyProtection="1">
      <alignment horizontal="left" vertical="top" wrapText="1"/>
      <protection hidden="1"/>
    </xf>
    <xf numFmtId="0" fontId="21" fillId="0" borderId="0" xfId="0" applyFont="1" applyAlignment="1" applyProtection="1">
      <alignment horizontal="center" vertical="center" wrapText="1"/>
      <protection hidden="1"/>
    </xf>
    <xf numFmtId="0" fontId="17" fillId="2" borderId="47" xfId="0" applyFont="1" applyFill="1" applyBorder="1" applyAlignment="1">
      <alignment horizontal="center" vertical="center" wrapText="1" readingOrder="1"/>
    </xf>
    <xf numFmtId="0" fontId="17" fillId="2" borderId="48" xfId="0" applyFont="1" applyFill="1" applyBorder="1" applyAlignment="1">
      <alignment horizontal="center" vertical="center" wrapText="1" readingOrder="1"/>
    </xf>
    <xf numFmtId="0" fontId="17" fillId="2" borderId="49" xfId="0" applyFont="1" applyFill="1" applyBorder="1" applyAlignment="1">
      <alignment horizontal="center" vertical="center" wrapText="1" readingOrder="1"/>
    </xf>
    <xf numFmtId="0" fontId="6" fillId="4" borderId="10" xfId="0" applyFont="1" applyFill="1" applyBorder="1" applyAlignment="1">
      <alignment horizontal="center" vertical="top" readingOrder="1"/>
    </xf>
    <xf numFmtId="0" fontId="6" fillId="4" borderId="9" xfId="0" applyFont="1" applyFill="1" applyBorder="1" applyAlignment="1">
      <alignment horizontal="center" vertical="top" readingOrder="1"/>
    </xf>
    <xf numFmtId="0" fontId="6" fillId="4" borderId="11" xfId="0" applyFont="1" applyFill="1" applyBorder="1" applyAlignment="1">
      <alignment horizontal="center" vertical="top" readingOrder="1"/>
    </xf>
    <xf numFmtId="0" fontId="17" fillId="2" borderId="3" xfId="0" applyFont="1" applyFill="1" applyBorder="1" applyAlignment="1">
      <alignment horizontal="center" vertical="center"/>
    </xf>
    <xf numFmtId="0" fontId="17" fillId="2" borderId="39" xfId="0" applyFont="1" applyFill="1" applyBorder="1" applyAlignment="1">
      <alignment horizontal="center" vertical="center"/>
    </xf>
    <xf numFmtId="0" fontId="6" fillId="4" borderId="47" xfId="0" applyFont="1" applyFill="1" applyBorder="1" applyAlignment="1">
      <alignment horizontal="center" vertical="top" readingOrder="1"/>
    </xf>
    <xf numFmtId="0" fontId="6" fillId="4" borderId="48" xfId="0" applyFont="1" applyFill="1" applyBorder="1" applyAlignment="1">
      <alignment horizontal="center" vertical="top" readingOrder="1"/>
    </xf>
    <xf numFmtId="0" fontId="6" fillId="4" borderId="49" xfId="0" applyFont="1" applyFill="1" applyBorder="1" applyAlignment="1">
      <alignment horizontal="center" vertical="top" readingOrder="1"/>
    </xf>
    <xf numFmtId="3" fontId="26" fillId="0" borderId="0" xfId="0" applyNumberFormat="1" applyFont="1" applyAlignment="1">
      <alignment horizontal="center"/>
    </xf>
    <xf numFmtId="3" fontId="26" fillId="9" borderId="37" xfId="0" applyNumberFormat="1" applyFont="1" applyFill="1" applyBorder="1" applyAlignment="1">
      <alignment horizontal="center"/>
    </xf>
    <xf numFmtId="3" fontId="26" fillId="9" borderId="36" xfId="0" applyNumberFormat="1" applyFont="1" applyFill="1" applyBorder="1" applyAlignment="1">
      <alignment horizontal="center"/>
    </xf>
    <xf numFmtId="3" fontId="26" fillId="6" borderId="37" xfId="0" applyNumberFormat="1" applyFont="1" applyFill="1" applyBorder="1" applyAlignment="1">
      <alignment horizontal="center"/>
    </xf>
    <xf numFmtId="3" fontId="26" fillId="6" borderId="36" xfId="0" applyNumberFormat="1" applyFont="1" applyFill="1" applyBorder="1" applyAlignment="1">
      <alignment horizontal="center"/>
    </xf>
    <xf numFmtId="3" fontId="26" fillId="11" borderId="37" xfId="0" applyNumberFormat="1" applyFont="1" applyFill="1" applyBorder="1" applyAlignment="1">
      <alignment horizontal="center"/>
    </xf>
    <xf numFmtId="3" fontId="26" fillId="11" borderId="36" xfId="0" applyNumberFormat="1" applyFont="1" applyFill="1" applyBorder="1" applyAlignment="1">
      <alignment horizontal="center"/>
    </xf>
    <xf numFmtId="3" fontId="26" fillId="10" borderId="37" xfId="0" applyNumberFormat="1" applyFont="1" applyFill="1" applyBorder="1" applyAlignment="1">
      <alignment horizontal="center"/>
    </xf>
    <xf numFmtId="3" fontId="26" fillId="10" borderId="36" xfId="0" applyNumberFormat="1" applyFont="1" applyFill="1" applyBorder="1" applyAlignment="1">
      <alignment horizontal="center"/>
    </xf>
  </cellXfs>
  <cellStyles count="8">
    <cellStyle name="Comma" xfId="1" builtinId="3"/>
    <cellStyle name="Comma 2" xfId="6" xr:uid="{783C0961-4C3A-44A3-9107-EE320C8E081C}"/>
    <cellStyle name="Currency" xfId="2" builtinId="4"/>
    <cellStyle name="Currency 2" xfId="7" xr:uid="{03C078B6-B845-4656-9B05-65D38373CBFB}"/>
    <cellStyle name="Normal" xfId="0" builtinId="0"/>
    <cellStyle name="Normal 2" xfId="4" xr:uid="{F31FB6B4-091C-48BA-8ABF-F7E8F80F896A}"/>
    <cellStyle name="Percent" xfId="3" builtinId="5"/>
    <cellStyle name="Percent 2" xfId="5" xr:uid="{D3465484-8649-4F81-8A73-0B86FF561A0A}"/>
  </cellStyles>
  <dxfs count="6">
    <dxf>
      <numFmt numFmtId="170" formatCode="&quot;$&quot;#,##0"/>
    </dxf>
    <dxf>
      <numFmt numFmtId="170" formatCode="&quot;$&quot;#,##0"/>
    </dxf>
    <dxf>
      <numFmt numFmtId="170" formatCode="&quot;$&quot;#,##0"/>
    </dxf>
    <dxf>
      <numFmt numFmtId="170" formatCode="&quot;$&quot;#,##0"/>
    </dxf>
    <dxf>
      <numFmt numFmtId="170" formatCode="&quot;$&quot;#,##0"/>
    </dxf>
    <dxf>
      <numFmt numFmtId="170" formatCode="&quot;$&quot;#,##0"/>
    </dxf>
  </dxfs>
  <tableStyles count="0" defaultTableStyle="TableStyleMedium2" defaultPivotStyle="PivotStyleLight16"/>
  <colors>
    <mruColors>
      <color rgb="FFF2F2F2"/>
      <color rgb="FF3C3C3B"/>
      <color rgb="FF75B843"/>
      <color rgb="FF767676"/>
      <color rgb="FF8DC6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126999</xdr:colOff>
      <xdr:row>0</xdr:row>
      <xdr:rowOff>181430</xdr:rowOff>
    </xdr:from>
    <xdr:to>
      <xdr:col>2</xdr:col>
      <xdr:colOff>664767</xdr:colOff>
      <xdr:row>1</xdr:row>
      <xdr:rowOff>130810</xdr:rowOff>
    </xdr:to>
    <xdr:pic>
      <xdr:nvPicPr>
        <xdr:cNvPr id="2" name="Picture 1" descr="U.S. Cotton Trust Protocol Logo">
          <a:extLst>
            <a:ext uri="{FF2B5EF4-FFF2-40B4-BE49-F238E27FC236}">
              <a16:creationId xmlns:a16="http://schemas.microsoft.com/office/drawing/2014/main" id="{B5505583-463C-4431-887B-27A9621F47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999" y="181430"/>
          <a:ext cx="2267508" cy="707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Olufemi Abimbola" id="{790B84DC-F37E-4988-97AF-5A917234309F}" userId="e5984dd99db4122c"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5-01-17T20:44:58.72" personId="{790B84DC-F37E-4988-97AF-5A917234309F}" id="{A35835AA-54B4-415F-8B21-AC4B8A0BE7D6}">
    <text>Less than or equal to 20,000 MT</text>
  </threadedComment>
  <threadedComment ref="A5" dT="2025-01-17T20:45:09.09" personId="{790B84DC-F37E-4988-97AF-5A917234309F}" id="{4EB8E656-D88A-4A40-A519-33A3086F7FFE}">
    <text>Less than or equal to 50,000 MT</text>
  </threadedComment>
  <threadedComment ref="A6" dT="2025-01-17T20:45:20.80" personId="{790B84DC-F37E-4988-97AF-5A917234309F}" id="{05C8E684-32C0-4168-BBEF-4A803A2E48AC}">
    <text>Less than or equal to 125,000 MT</text>
  </threadedComment>
  <threadedComment ref="A7" dT="2025-01-17T20:45:48.02" personId="{790B84DC-F37E-4988-97AF-5A917234309F}" id="{F30F5C3F-4B2C-4E4D-B553-25E94E94C79B}">
    <text>Greater than 125,000 MT</text>
  </threadedComment>
  <threadedComment ref="B13" dT="2025-01-17T20:32:09.23" personId="{790B84DC-F37E-4988-97AF-5A917234309F}" id="{C7718FC8-AF8C-4763-9440-35588D992A08}">
    <text>1 - 10.99%</text>
  </threadedComment>
  <threadedComment ref="C13" dT="2025-01-17T20:32:33.35" personId="{790B84DC-F37E-4988-97AF-5A917234309F}" id="{17507312-CCF5-498A-A725-42DF72ADD2BA}">
    <text>11 - 24.99%</text>
  </threadedComment>
  <threadedComment ref="D13" dT="2025-01-17T20:33:18.11" personId="{790B84DC-F37E-4988-97AF-5A917234309F}" id="{844AD84B-9AAC-4FC7-9476-B5675DE3E912}">
    <text>25 - 74.99%</text>
  </threadedComment>
  <threadedComment ref="E13" dT="2025-01-17T20:33:37.89" personId="{790B84DC-F37E-4988-97AF-5A917234309F}" id="{843C44C0-8093-49D9-BA9A-8806F8A9D902}">
    <text>75 - 100%</text>
  </threadedComment>
  <threadedComment ref="A14" dT="2025-01-17T20:20:49.70" personId="{790B84DC-F37E-4988-97AF-5A917234309F}" id="{BC26F9D8-EBCC-42CC-B091-F31343BD762C}">
    <text>1 - 20,000 MT</text>
  </threadedComment>
  <threadedComment ref="A15" dT="2025-01-17T20:30:44.27" personId="{790B84DC-F37E-4988-97AF-5A917234309F}" id="{93E44441-DD70-468A-9F24-276AE234F1CF}">
    <text>20,001 - 50,000 MT</text>
  </threadedComment>
  <threadedComment ref="A16" dT="2025-01-17T20:31:03.58" personId="{790B84DC-F37E-4988-97AF-5A917234309F}" id="{F48A814D-6D37-4C63-8F2D-38D3CE396A31}">
    <text>50,001 - 125,000 MT</text>
  </threadedComment>
  <threadedComment ref="A17" dT="2025-01-17T20:31:25.70" personId="{790B84DC-F37E-4988-97AF-5A917234309F}" id="{18A265CF-C736-4B56-B229-AA038EAE33F1}">
    <text>Greater than 125,000 MT</text>
  </threadedComment>
</ThreadedComments>
</file>

<file path=xl/threadedComments/threadedComment2.xml><?xml version="1.0" encoding="utf-8"?>
<ThreadedComments xmlns="http://schemas.microsoft.com/office/spreadsheetml/2018/threadedcomments" xmlns:x="http://schemas.openxmlformats.org/spreadsheetml/2006/main">
  <threadedComment ref="A4" dT="2025-01-17T20:44:58.72" personId="{790B84DC-F37E-4988-97AF-5A917234309F}" id="{2502D478-6153-4633-930D-8D7E3D26CD72}">
    <text>Less than or equal to 20,000 MT</text>
  </threadedComment>
  <threadedComment ref="A5" dT="2025-01-17T20:45:09.09" personId="{790B84DC-F37E-4988-97AF-5A917234309F}" id="{A90ECA5B-D152-4C44-8C24-4BC6EACFD792}">
    <text>Less than or equal to 50,000 MT</text>
  </threadedComment>
  <threadedComment ref="A6" dT="2025-01-17T20:45:20.80" personId="{790B84DC-F37E-4988-97AF-5A917234309F}" id="{E06ED0E0-523C-45AD-AB59-140DF4D35A0F}">
    <text>Less than or equal to 125,000 MT</text>
  </threadedComment>
  <threadedComment ref="A7" dT="2025-01-17T20:45:48.02" personId="{790B84DC-F37E-4988-97AF-5A917234309F}" id="{1971603C-1238-4C4C-9216-3D6518B2B122}">
    <text>Greater than 125,000 MT</text>
  </threadedComment>
  <threadedComment ref="B13" dT="2025-01-17T20:32:09.23" personId="{790B84DC-F37E-4988-97AF-5A917234309F}" id="{BBDA6CD0-6BAB-4D07-9BF2-60F0411598D8}">
    <text>1 - 10.99%</text>
  </threadedComment>
  <threadedComment ref="C13" dT="2025-01-17T20:32:33.35" personId="{790B84DC-F37E-4988-97AF-5A917234309F}" id="{BC761593-C893-4E5E-A6DB-93E341F22545}">
    <text>11 - 24.99%</text>
  </threadedComment>
  <threadedComment ref="D13" dT="2025-01-17T20:33:18.11" personId="{790B84DC-F37E-4988-97AF-5A917234309F}" id="{5503E364-0CC4-4844-8792-4ACEA0CDB499}">
    <text>25 - 74.99%</text>
  </threadedComment>
  <threadedComment ref="E13" dT="2025-01-17T20:33:37.89" personId="{790B84DC-F37E-4988-97AF-5A917234309F}" id="{F326EF19-D34F-4B3C-8F76-592CF214C50A}">
    <text>75 - 100%</text>
  </threadedComment>
  <threadedComment ref="A14" dT="2025-01-17T20:20:49.70" personId="{790B84DC-F37E-4988-97AF-5A917234309F}" id="{705FCB5E-B90A-4D63-9695-ED800F3D2637}">
    <text>1 - 20,000 MT</text>
  </threadedComment>
  <threadedComment ref="A15" dT="2025-01-17T20:30:44.27" personId="{790B84DC-F37E-4988-97AF-5A917234309F}" id="{2751A7D9-19AE-4335-8280-E57C7FD56F17}">
    <text>20,001 - 50,000 MT</text>
  </threadedComment>
  <threadedComment ref="A16" dT="2025-01-17T20:31:03.58" personId="{790B84DC-F37E-4988-97AF-5A917234309F}" id="{9F42944E-9682-4E46-90CA-BDB07920C6C3}">
    <text>50,001 - 125,000 MT</text>
  </threadedComment>
  <threadedComment ref="A17" dT="2025-01-17T20:31:25.70" personId="{790B84DC-F37E-4988-97AF-5A917234309F}" id="{CBF6018D-9B69-48C6-AB3E-4A23A33AE7AA}">
    <text>Greater than 125,000 MT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AEA64-93BC-49D9-BAF3-EB73687D51E1}">
  <sheetPr>
    <tabColor rgb="FF00B050"/>
    <pageSetUpPr fitToPage="1"/>
  </sheetPr>
  <dimension ref="A1:O72"/>
  <sheetViews>
    <sheetView showGridLines="0" tabSelected="1" topLeftCell="A30" zoomScale="80" zoomScaleNormal="80" zoomScalePageLayoutView="70" workbookViewId="0">
      <selection activeCell="B34" sqref="B34:I69"/>
    </sheetView>
  </sheetViews>
  <sheetFormatPr baseColWidth="10" defaultColWidth="9.1640625" defaultRowHeight="14" x14ac:dyDescent="0.2"/>
  <cols>
    <col min="1" max="1" width="3.33203125" style="38" customWidth="1"/>
    <col min="2" max="2" width="22" style="38" customWidth="1"/>
    <col min="3" max="3" width="64.83203125" style="38" customWidth="1"/>
    <col min="4" max="6" width="20.83203125" style="38" customWidth="1"/>
    <col min="7" max="7" width="14" style="38" customWidth="1"/>
    <col min="8" max="8" width="15.5" style="38" customWidth="1"/>
    <col min="9" max="9" width="14" style="38" customWidth="1"/>
    <col min="10" max="10" width="9.1640625" style="38" customWidth="1"/>
    <col min="11" max="11" width="13.5" style="38" hidden="1" customWidth="1"/>
    <col min="12" max="12" width="14" style="38" hidden="1" customWidth="1"/>
    <col min="13" max="13" width="9.1640625" style="38" hidden="1" customWidth="1"/>
    <col min="14" max="14" width="15" style="38" hidden="1" customWidth="1"/>
    <col min="15" max="15" width="47.1640625" style="38" hidden="1" customWidth="1"/>
    <col min="16" max="17" width="9.1640625" style="38" customWidth="1"/>
    <col min="18" max="18" width="11.33203125" style="38" customWidth="1"/>
    <col min="19" max="19" width="12.83203125" style="38" customWidth="1"/>
    <col min="20" max="20" width="11.6640625" style="38" customWidth="1"/>
    <col min="21" max="41" width="9.1640625" style="38" customWidth="1"/>
    <col min="42" max="16384" width="9.1640625" style="38"/>
  </cols>
  <sheetData>
    <row r="1" spans="1:15" ht="60" customHeight="1" x14ac:dyDescent="0.2">
      <c r="A1"/>
      <c r="B1" s="178" t="s">
        <v>36</v>
      </c>
      <c r="C1" s="179"/>
      <c r="D1" s="179"/>
      <c r="E1" s="179"/>
      <c r="F1" s="179"/>
      <c r="G1" s="15"/>
      <c r="H1" s="15"/>
      <c r="I1" s="15"/>
    </row>
    <row r="2" spans="1:15" ht="25.5" customHeight="1" x14ac:dyDescent="0.2">
      <c r="B2" s="1"/>
      <c r="C2" s="1"/>
      <c r="D2" s="1"/>
      <c r="E2" s="1"/>
      <c r="F2" s="1"/>
      <c r="G2" s="1"/>
      <c r="H2" s="1"/>
      <c r="I2" s="1"/>
      <c r="K2" s="39" t="s">
        <v>0</v>
      </c>
      <c r="L2" s="40" t="e">
        <f>#REF!</f>
        <v>#REF!</v>
      </c>
    </row>
    <row r="3" spans="1:15" s="118" customFormat="1" ht="43.5" customHeight="1" x14ac:dyDescent="0.2">
      <c r="A3" s="188" t="s">
        <v>75</v>
      </c>
      <c r="B3" s="188"/>
      <c r="C3" s="188"/>
      <c r="D3" s="188"/>
      <c r="E3" s="188"/>
      <c r="F3" s="188"/>
      <c r="K3" s="39" t="s">
        <v>0</v>
      </c>
      <c r="L3" s="40" t="e">
        <f>#REF!</f>
        <v>#REF!</v>
      </c>
    </row>
    <row r="4" spans="1:15" ht="27" customHeight="1" x14ac:dyDescent="0.2">
      <c r="A4" s="188"/>
      <c r="B4" s="188"/>
      <c r="C4" s="188"/>
      <c r="D4" s="188"/>
      <c r="E4" s="188"/>
      <c r="F4" s="188"/>
      <c r="G4" s="2"/>
      <c r="H4" s="2"/>
      <c r="I4" s="2"/>
      <c r="K4" s="39" t="s">
        <v>0</v>
      </c>
      <c r="L4" s="40" t="e">
        <f>#REF!</f>
        <v>#REF!</v>
      </c>
      <c r="N4" s="38" t="s">
        <v>29</v>
      </c>
      <c r="O4" s="38" t="s">
        <v>37</v>
      </c>
    </row>
    <row r="5" spans="1:15" ht="27" customHeight="1" x14ac:dyDescent="0.2">
      <c r="A5" s="188"/>
      <c r="B5" s="188"/>
      <c r="C5" s="188"/>
      <c r="D5" s="188"/>
      <c r="E5" s="188"/>
      <c r="F5" s="188"/>
      <c r="G5" s="3"/>
      <c r="I5" s="2"/>
      <c r="K5" s="39" t="s">
        <v>1</v>
      </c>
      <c r="L5" s="40" t="e">
        <f>#REF!</f>
        <v>#REF!</v>
      </c>
      <c r="N5" s="38" t="s">
        <v>29</v>
      </c>
      <c r="O5" s="38" t="s">
        <v>38</v>
      </c>
    </row>
    <row r="6" spans="1:15" ht="27" customHeight="1" x14ac:dyDescent="0.2">
      <c r="B6" s="41"/>
      <c r="F6" s="42"/>
      <c r="K6" s="39" t="s">
        <v>2</v>
      </c>
      <c r="L6" s="40" t="e">
        <f>#REF!</f>
        <v>#REF!</v>
      </c>
      <c r="N6" s="38" t="s">
        <v>29</v>
      </c>
      <c r="O6" s="38" t="s">
        <v>39</v>
      </c>
    </row>
    <row r="7" spans="1:15" ht="27" customHeight="1" x14ac:dyDescent="0.2">
      <c r="B7" s="119" t="s">
        <v>58</v>
      </c>
      <c r="C7" s="117" t="s">
        <v>76</v>
      </c>
      <c r="D7" s="42"/>
      <c r="E7" s="43" t="s">
        <v>3</v>
      </c>
      <c r="F7" s="43" t="s">
        <v>4</v>
      </c>
      <c r="G7" s="42"/>
      <c r="I7" s="42"/>
      <c r="K7" s="39" t="s">
        <v>5</v>
      </c>
      <c r="L7" s="40" t="e">
        <f>#REF!</f>
        <v>#REF!</v>
      </c>
      <c r="N7" s="38" t="s">
        <v>30</v>
      </c>
      <c r="O7" s="38" t="s">
        <v>33</v>
      </c>
    </row>
    <row r="8" spans="1:15" ht="27" customHeight="1" x14ac:dyDescent="0.2">
      <c r="B8" s="41"/>
      <c r="C8" s="44"/>
      <c r="D8" s="45">
        <v>2025</v>
      </c>
      <c r="E8" s="75">
        <v>2026</v>
      </c>
      <c r="F8" s="75">
        <v>2027</v>
      </c>
      <c r="K8" s="39" t="s">
        <v>6</v>
      </c>
      <c r="L8" s="40" t="e">
        <f>#REF!</f>
        <v>#REF!</v>
      </c>
      <c r="N8" s="38" t="s">
        <v>30</v>
      </c>
      <c r="O8" s="38" t="s">
        <v>37</v>
      </c>
    </row>
    <row r="9" spans="1:15" ht="27" customHeight="1" thickBot="1" x14ac:dyDescent="0.25">
      <c r="B9" s="41"/>
      <c r="C9" s="44"/>
      <c r="D9" s="44"/>
      <c r="E9" s="44"/>
      <c r="F9" s="44"/>
      <c r="K9" s="39" t="s">
        <v>7</v>
      </c>
      <c r="L9" s="40" t="e">
        <f>#REF!</f>
        <v>#REF!</v>
      </c>
      <c r="N9" s="38" t="s">
        <v>30</v>
      </c>
      <c r="O9" s="38" t="s">
        <v>38</v>
      </c>
    </row>
    <row r="10" spans="1:15" ht="27" customHeight="1" x14ac:dyDescent="0.2">
      <c r="B10" s="180" t="s">
        <v>8</v>
      </c>
      <c r="C10" s="16" t="s">
        <v>9</v>
      </c>
      <c r="D10" s="114">
        <v>100000</v>
      </c>
      <c r="E10" s="115">
        <v>100000</v>
      </c>
      <c r="F10" s="116">
        <v>100000</v>
      </c>
      <c r="H10"/>
      <c r="K10" s="39" t="s">
        <v>10</v>
      </c>
      <c r="L10" s="40" t="e">
        <f>#REF!</f>
        <v>#REF!</v>
      </c>
      <c r="N10" s="38" t="s">
        <v>30</v>
      </c>
      <c r="O10" s="38" t="s">
        <v>39</v>
      </c>
    </row>
    <row r="11" spans="1:15" ht="27" customHeight="1" x14ac:dyDescent="0.2">
      <c r="B11" s="181"/>
      <c r="C11" s="46"/>
      <c r="D11" s="47"/>
      <c r="E11" s="48"/>
      <c r="F11" s="49"/>
      <c r="K11" s="39" t="s">
        <v>11</v>
      </c>
      <c r="L11" s="40" t="e">
        <f>#REF!</f>
        <v>#REF!</v>
      </c>
      <c r="N11" s="38" t="s">
        <v>31</v>
      </c>
      <c r="O11" s="38" t="s">
        <v>33</v>
      </c>
    </row>
    <row r="12" spans="1:15" ht="27" customHeight="1" x14ac:dyDescent="0.2">
      <c r="B12" s="181"/>
      <c r="C12" s="13" t="s">
        <v>77</v>
      </c>
      <c r="D12" s="120">
        <v>0.3</v>
      </c>
      <c r="E12" s="121">
        <v>0.4</v>
      </c>
      <c r="F12" s="122">
        <v>0.5</v>
      </c>
      <c r="K12" s="39" t="s">
        <v>12</v>
      </c>
      <c r="L12" s="40" t="e">
        <f>#REF!</f>
        <v>#REF!</v>
      </c>
      <c r="N12" s="38" t="s">
        <v>31</v>
      </c>
      <c r="O12" s="38" t="s">
        <v>37</v>
      </c>
    </row>
    <row r="13" spans="1:15" ht="27" customHeight="1" x14ac:dyDescent="0.2">
      <c r="B13" s="181"/>
      <c r="C13" s="46"/>
      <c r="D13" s="47"/>
      <c r="E13" s="48"/>
      <c r="F13" s="49"/>
      <c r="K13" s="39" t="s">
        <v>13</v>
      </c>
      <c r="L13" s="40" t="e">
        <f>#REF!</f>
        <v>#REF!</v>
      </c>
      <c r="N13" s="38" t="s">
        <v>31</v>
      </c>
      <c r="O13" s="38" t="s">
        <v>38</v>
      </c>
    </row>
    <row r="14" spans="1:15" ht="27" customHeight="1" x14ac:dyDescent="0.2">
      <c r="B14" s="181"/>
      <c r="C14" s="14" t="s">
        <v>78</v>
      </c>
      <c r="D14" s="5">
        <f>D10*D12</f>
        <v>30000</v>
      </c>
      <c r="E14" s="4">
        <f>E10*E12</f>
        <v>40000</v>
      </c>
      <c r="F14" s="17">
        <f t="shared" ref="F14" si="0">F10*F12</f>
        <v>50000</v>
      </c>
      <c r="K14" s="39" t="s">
        <v>14</v>
      </c>
      <c r="L14" s="40" t="e">
        <f>#REF!</f>
        <v>#REF!</v>
      </c>
      <c r="N14" s="38" t="s">
        <v>31</v>
      </c>
      <c r="O14" s="38" t="s">
        <v>39</v>
      </c>
    </row>
    <row r="15" spans="1:15" ht="27" customHeight="1" thickBot="1" x14ac:dyDescent="0.25">
      <c r="B15" s="182"/>
      <c r="C15" s="50"/>
      <c r="D15" s="51"/>
      <c r="E15" s="52"/>
      <c r="F15" s="53"/>
      <c r="K15" s="39" t="s">
        <v>15</v>
      </c>
      <c r="L15" s="40" t="e">
        <f>#REF!</f>
        <v>#REF!</v>
      </c>
      <c r="N15" s="38" t="s">
        <v>32</v>
      </c>
      <c r="O15" s="38" t="s">
        <v>33</v>
      </c>
    </row>
    <row r="16" spans="1:15" ht="27" customHeight="1" thickBot="1" x14ac:dyDescent="0.25">
      <c r="B16" s="54"/>
      <c r="C16" s="55"/>
      <c r="D16" s="56"/>
      <c r="E16" s="57"/>
      <c r="F16" s="56"/>
      <c r="K16" s="39" t="s">
        <v>16</v>
      </c>
      <c r="L16" s="40" t="e">
        <f>#REF!</f>
        <v>#REF!</v>
      </c>
      <c r="N16" s="38" t="s">
        <v>32</v>
      </c>
      <c r="O16" s="38" t="s">
        <v>37</v>
      </c>
    </row>
    <row r="17" spans="2:15" ht="27" customHeight="1" x14ac:dyDescent="0.2">
      <c r="B17" s="183" t="s">
        <v>17</v>
      </c>
      <c r="C17" s="16" t="s">
        <v>18</v>
      </c>
      <c r="D17" s="18">
        <f>IF(D10&lt;=20000, 'Fee Tables 2.0'!B4, IF(D10&lt;=50000, 'Fee Tables 2.0'!B5, IF(D10&lt;=125000, 'Fee Tables 2.0'!B6, 'Fee Tables 2.0'!B7)))</f>
        <v>35000</v>
      </c>
      <c r="E17" s="19">
        <f>IF(E10&lt;=20000, 'Fee Tables 2.0'!B4, IF(E10&lt;=50000, 'Fee Tables 2.0'!B5, IF(E10&lt;=125000, 'Fee Tables 2.0'!B6, 'Fee Tables 2.0'!B7)))</f>
        <v>35000</v>
      </c>
      <c r="F17" s="20">
        <f>IF(F10&lt;=20000, 'Fee Tables 2.0'!B4, IF(F10&lt;=50000, 'Fee Tables 2.0'!B5, IF(F10&lt;=125000, 'Fee Tables 2.0'!B6, 'Fee Tables 2.0'!B7)))</f>
        <v>35000</v>
      </c>
      <c r="K17" s="39" t="s">
        <v>19</v>
      </c>
      <c r="L17" s="40" t="e">
        <f>#REF!</f>
        <v>#REF!</v>
      </c>
      <c r="N17" s="38" t="s">
        <v>32</v>
      </c>
      <c r="O17" s="38" t="s">
        <v>38</v>
      </c>
    </row>
    <row r="18" spans="2:15" ht="12" hidden="1" customHeight="1" x14ac:dyDescent="0.2">
      <c r="B18" s="184"/>
      <c r="C18" s="46"/>
      <c r="D18" s="58"/>
      <c r="E18" s="59"/>
      <c r="F18" s="60"/>
      <c r="K18" s="39" t="s">
        <v>20</v>
      </c>
      <c r="L18" s="40" t="e">
        <f>#REF!</f>
        <v>#REF!</v>
      </c>
      <c r="N18" s="38" t="s">
        <v>32</v>
      </c>
      <c r="O18" s="38" t="s">
        <v>39</v>
      </c>
    </row>
    <row r="19" spans="2:15" ht="31.25" hidden="1" customHeight="1" x14ac:dyDescent="0.2">
      <c r="B19" s="184"/>
      <c r="C19" s="13" t="s">
        <v>21</v>
      </c>
      <c r="D19" s="11"/>
      <c r="E19" s="12"/>
      <c r="F19" s="21"/>
    </row>
    <row r="20" spans="2:15" ht="12" customHeight="1" x14ac:dyDescent="0.2">
      <c r="B20" s="184"/>
      <c r="C20" s="46"/>
      <c r="D20" s="58"/>
      <c r="E20" s="59"/>
      <c r="F20" s="60"/>
    </row>
    <row r="21" spans="2:15" ht="19" hidden="1" x14ac:dyDescent="0.2">
      <c r="B21" s="184"/>
      <c r="C21" s="61" t="s">
        <v>22</v>
      </c>
      <c r="D21" s="62">
        <f>LOOKUP(D12,{0,0.1,0.25,0.75},{1,2,3,4})</f>
        <v>3</v>
      </c>
      <c r="E21" s="62">
        <f>LOOKUP(E12,{0,0.1,0.25,0.75},{1,2,3,4})</f>
        <v>3</v>
      </c>
      <c r="F21" s="63">
        <f>LOOKUP(F12,{0,0.1,0.25,0.75},{1,2,3,4})</f>
        <v>3</v>
      </c>
    </row>
    <row r="22" spans="2:15" ht="19" hidden="1" x14ac:dyDescent="0.2">
      <c r="B22" s="184"/>
      <c r="C22" s="61" t="s">
        <v>23</v>
      </c>
      <c r="D22" s="62" t="str">
        <f>LOOKUP(D10,{0,20001,50001,125001},{"a","b","c","d"})</f>
        <v>c</v>
      </c>
      <c r="E22" s="62" t="str">
        <f>LOOKUP(E10,{0,20001,50001,125001},{"a","b","c","d"})</f>
        <v>c</v>
      </c>
      <c r="F22" s="63" t="str">
        <f>LOOKUP(F10,{0,20001,50001,125001},{"a","b","c","d"})</f>
        <v>c</v>
      </c>
    </row>
    <row r="23" spans="2:15" ht="19" hidden="1" x14ac:dyDescent="0.2">
      <c r="B23" s="184"/>
      <c r="C23" s="61" t="s">
        <v>24</v>
      </c>
      <c r="D23" s="62" t="str">
        <f>CONCATENATE(D21,D22)</f>
        <v>3c</v>
      </c>
      <c r="E23" s="64" t="str">
        <f>CONCATENATE(E21,E22)</f>
        <v>3c</v>
      </c>
      <c r="F23" s="65" t="str">
        <f t="shared" ref="F23" si="1">CONCATENATE(F21,F22)</f>
        <v>3c</v>
      </c>
    </row>
    <row r="24" spans="2:15" ht="31.25" customHeight="1" x14ac:dyDescent="0.2">
      <c r="B24" s="184"/>
      <c r="C24" s="13" t="s">
        <v>74</v>
      </c>
      <c r="D24" s="76">
        <f>'Fee Tables 2.0'!B24</f>
        <v>6.916666666666667</v>
      </c>
      <c r="E24" s="77">
        <f>'Fee Tables 2.0'!C24</f>
        <v>6.6875</v>
      </c>
      <c r="F24" s="78">
        <f>'Fee Tables 2.0'!D24</f>
        <v>6.55</v>
      </c>
    </row>
    <row r="25" spans="2:15" ht="12" customHeight="1" x14ac:dyDescent="0.2">
      <c r="B25" s="184"/>
      <c r="C25" s="46"/>
      <c r="D25" s="66">
        <v>1</v>
      </c>
      <c r="E25" s="67">
        <f>IF($C$5="None",1,1-$E$5)</f>
        <v>1</v>
      </c>
      <c r="F25" s="68">
        <f>IF($C$5="None",1,1-$E$5)</f>
        <v>1</v>
      </c>
    </row>
    <row r="26" spans="2:15" ht="31.25" customHeight="1" x14ac:dyDescent="0.2">
      <c r="B26" s="184"/>
      <c r="C26" s="13" t="s">
        <v>25</v>
      </c>
      <c r="D26" s="11">
        <f>D24*D14</f>
        <v>207500</v>
      </c>
      <c r="E26" s="12">
        <f>E24*E14</f>
        <v>267500</v>
      </c>
      <c r="F26" s="21">
        <f>F24*F14</f>
        <v>327500</v>
      </c>
    </row>
    <row r="27" spans="2:15" ht="12" customHeight="1" x14ac:dyDescent="0.2">
      <c r="B27" s="184"/>
      <c r="C27" s="46"/>
      <c r="D27" s="69"/>
      <c r="E27" s="70"/>
      <c r="F27" s="71"/>
    </row>
    <row r="28" spans="2:15" ht="31.25" customHeight="1" thickBot="1" x14ac:dyDescent="0.25">
      <c r="B28" s="185"/>
      <c r="C28" s="22" t="s">
        <v>34</v>
      </c>
      <c r="D28" s="23">
        <f>IF(D26&lt;D19,0,D26-D19)</f>
        <v>207500</v>
      </c>
      <c r="E28" s="24">
        <f>IF(E26&lt;E19,0,E26-E19)</f>
        <v>267500</v>
      </c>
      <c r="F28" s="25">
        <f>IF(F26&lt;F19,0,F26-F19)</f>
        <v>327500</v>
      </c>
    </row>
    <row r="29" spans="2:15" ht="20" customHeight="1" thickBot="1" x14ac:dyDescent="0.25">
      <c r="D29" s="123"/>
    </row>
    <row r="30" spans="2:15" ht="40" customHeight="1" thickBot="1" x14ac:dyDescent="0.25">
      <c r="B30" s="72"/>
      <c r="C30" s="26" t="s">
        <v>35</v>
      </c>
      <c r="D30" s="27">
        <f>D17+D28</f>
        <v>242500</v>
      </c>
      <c r="E30" s="27">
        <f t="shared" ref="E30:F30" si="2">E17+E28</f>
        <v>302500</v>
      </c>
      <c r="F30" s="27">
        <f t="shared" si="2"/>
        <v>362500</v>
      </c>
    </row>
    <row r="31" spans="2:15" ht="20" customHeight="1" x14ac:dyDescent="0.2"/>
    <row r="32" spans="2:15" ht="7.75" customHeight="1" x14ac:dyDescent="0.2"/>
    <row r="33" spans="2:14" ht="20" customHeight="1" x14ac:dyDescent="0.2"/>
    <row r="34" spans="2:14" ht="400" customHeight="1" x14ac:dyDescent="0.2">
      <c r="B34" s="186" t="s">
        <v>79</v>
      </c>
      <c r="C34" s="187"/>
      <c r="D34" s="187"/>
      <c r="E34" s="187"/>
      <c r="F34" s="187"/>
      <c r="G34" s="187"/>
      <c r="H34" s="187"/>
      <c r="I34" s="187"/>
    </row>
    <row r="35" spans="2:14" ht="15" customHeight="1" x14ac:dyDescent="0.2">
      <c r="B35" s="187"/>
      <c r="C35" s="187"/>
      <c r="D35" s="187"/>
      <c r="E35" s="187"/>
      <c r="F35" s="187"/>
      <c r="G35" s="187"/>
      <c r="H35" s="187"/>
      <c r="I35" s="187"/>
    </row>
    <row r="36" spans="2:14" ht="15" customHeight="1" x14ac:dyDescent="0.2">
      <c r="B36" s="187"/>
      <c r="C36" s="187"/>
      <c r="D36" s="187"/>
      <c r="E36" s="187"/>
      <c r="F36" s="187"/>
      <c r="G36" s="187"/>
      <c r="H36" s="187"/>
      <c r="I36" s="187"/>
    </row>
    <row r="37" spans="2:14" ht="15" customHeight="1" x14ac:dyDescent="0.2">
      <c r="B37" s="187"/>
      <c r="C37" s="187"/>
      <c r="D37" s="187"/>
      <c r="E37" s="187"/>
      <c r="F37" s="187"/>
      <c r="G37" s="187"/>
      <c r="H37" s="187"/>
      <c r="I37" s="187"/>
    </row>
    <row r="38" spans="2:14" ht="15" customHeight="1" x14ac:dyDescent="0.2">
      <c r="B38" s="187"/>
      <c r="C38" s="187"/>
      <c r="D38" s="187"/>
      <c r="E38" s="187"/>
      <c r="F38" s="187"/>
      <c r="G38" s="187"/>
      <c r="H38" s="187"/>
      <c r="I38" s="187"/>
    </row>
    <row r="39" spans="2:14" ht="15" customHeight="1" x14ac:dyDescent="0.2">
      <c r="B39" s="187"/>
      <c r="C39" s="187"/>
      <c r="D39" s="187"/>
      <c r="E39" s="187"/>
      <c r="F39" s="187"/>
      <c r="G39" s="187"/>
      <c r="H39" s="187"/>
      <c r="I39" s="187"/>
    </row>
    <row r="40" spans="2:14" ht="8" customHeight="1" x14ac:dyDescent="0.2">
      <c r="B40" s="187"/>
      <c r="C40" s="187"/>
      <c r="D40" s="187"/>
      <c r="E40" s="187"/>
      <c r="F40" s="187"/>
      <c r="G40" s="187"/>
      <c r="H40" s="187"/>
      <c r="I40" s="187"/>
      <c r="M40" s="73"/>
      <c r="N40" s="73"/>
    </row>
    <row r="41" spans="2:14" ht="14" customHeight="1" x14ac:dyDescent="0.2">
      <c r="B41" s="187"/>
      <c r="C41" s="187"/>
      <c r="D41" s="187"/>
      <c r="E41" s="187"/>
      <c r="F41" s="187"/>
      <c r="G41" s="187"/>
      <c r="H41" s="187"/>
      <c r="I41" s="187"/>
    </row>
    <row r="42" spans="2:14" ht="1" customHeight="1" x14ac:dyDescent="0.2">
      <c r="B42" s="187"/>
      <c r="C42" s="187"/>
      <c r="D42" s="187"/>
      <c r="E42" s="187"/>
      <c r="F42" s="187"/>
      <c r="G42" s="187"/>
      <c r="H42" s="187"/>
      <c r="I42" s="187"/>
    </row>
    <row r="43" spans="2:14" ht="1" customHeight="1" x14ac:dyDescent="0.2">
      <c r="B43" s="187"/>
      <c r="C43" s="187"/>
      <c r="D43" s="187"/>
      <c r="E43" s="187"/>
      <c r="F43" s="187"/>
      <c r="G43" s="187"/>
      <c r="H43" s="187"/>
      <c r="I43" s="187"/>
    </row>
    <row r="44" spans="2:14" ht="1" customHeight="1" x14ac:dyDescent="0.2">
      <c r="B44" s="187"/>
      <c r="C44" s="187"/>
      <c r="D44" s="187"/>
      <c r="E44" s="187"/>
      <c r="F44" s="187"/>
      <c r="G44" s="187"/>
      <c r="H44" s="187"/>
      <c r="I44" s="187"/>
    </row>
    <row r="45" spans="2:14" s="73" customFormat="1" ht="1" customHeight="1" x14ac:dyDescent="0.2">
      <c r="B45" s="187"/>
      <c r="C45" s="187"/>
      <c r="D45" s="187"/>
      <c r="E45" s="187"/>
      <c r="F45" s="187"/>
      <c r="G45" s="187"/>
      <c r="H45" s="187"/>
      <c r="I45" s="187"/>
      <c r="J45" s="38"/>
      <c r="K45" s="38"/>
      <c r="L45" s="38"/>
      <c r="M45" s="38"/>
      <c r="N45" s="38"/>
    </row>
    <row r="46" spans="2:14" ht="1" customHeight="1" x14ac:dyDescent="0.2">
      <c r="B46" s="187"/>
      <c r="C46" s="187"/>
      <c r="D46" s="187"/>
      <c r="E46" s="187"/>
      <c r="F46" s="187"/>
      <c r="G46" s="187"/>
      <c r="H46" s="187"/>
      <c r="I46" s="187"/>
    </row>
    <row r="47" spans="2:14" ht="1" customHeight="1" x14ac:dyDescent="0.2">
      <c r="B47" s="187"/>
      <c r="C47" s="187"/>
      <c r="D47" s="187"/>
      <c r="E47" s="187"/>
      <c r="F47" s="187"/>
      <c r="G47" s="187"/>
      <c r="H47" s="187"/>
      <c r="I47" s="187"/>
    </row>
    <row r="48" spans="2:14" ht="1" customHeight="1" x14ac:dyDescent="0.2">
      <c r="B48" s="187"/>
      <c r="C48" s="187"/>
      <c r="D48" s="187"/>
      <c r="E48" s="187"/>
      <c r="F48" s="187"/>
      <c r="G48" s="187"/>
      <c r="H48" s="187"/>
      <c r="I48" s="187"/>
    </row>
    <row r="49" spans="2:9" ht="1" customHeight="1" x14ac:dyDescent="0.2">
      <c r="B49" s="187"/>
      <c r="C49" s="187"/>
      <c r="D49" s="187"/>
      <c r="E49" s="187"/>
      <c r="F49" s="187"/>
      <c r="G49" s="187"/>
      <c r="H49" s="187"/>
      <c r="I49" s="187"/>
    </row>
    <row r="50" spans="2:9" ht="5" customHeight="1" x14ac:dyDescent="0.2">
      <c r="B50" s="187"/>
      <c r="C50" s="187"/>
      <c r="D50" s="187"/>
      <c r="E50" s="187"/>
      <c r="F50" s="187"/>
      <c r="G50" s="187"/>
      <c r="H50" s="187"/>
      <c r="I50" s="187"/>
    </row>
    <row r="51" spans="2:9" ht="1" customHeight="1" x14ac:dyDescent="0.2">
      <c r="B51" s="187"/>
      <c r="C51" s="187"/>
      <c r="D51" s="187"/>
      <c r="E51" s="187"/>
      <c r="F51" s="187"/>
      <c r="G51" s="187"/>
      <c r="H51" s="187"/>
      <c r="I51" s="187"/>
    </row>
    <row r="52" spans="2:9" ht="1" customHeight="1" x14ac:dyDescent="0.2">
      <c r="B52" s="187"/>
      <c r="C52" s="187"/>
      <c r="D52" s="187"/>
      <c r="E52" s="187"/>
      <c r="F52" s="187"/>
      <c r="G52" s="187"/>
      <c r="H52" s="187"/>
      <c r="I52" s="187"/>
    </row>
    <row r="53" spans="2:9" ht="4" customHeight="1" x14ac:dyDescent="0.2">
      <c r="B53" s="187"/>
      <c r="C53" s="187"/>
      <c r="D53" s="187"/>
      <c r="E53" s="187"/>
      <c r="F53" s="187"/>
      <c r="G53" s="187"/>
      <c r="H53" s="187"/>
      <c r="I53" s="187"/>
    </row>
    <row r="54" spans="2:9" ht="1" customHeight="1" x14ac:dyDescent="0.2">
      <c r="B54" s="187"/>
      <c r="C54" s="187"/>
      <c r="D54" s="187"/>
      <c r="E54" s="187"/>
      <c r="F54" s="187"/>
      <c r="G54" s="187"/>
      <c r="H54" s="187"/>
      <c r="I54" s="187"/>
    </row>
    <row r="55" spans="2:9" ht="1" customHeight="1" x14ac:dyDescent="0.2">
      <c r="B55" s="187"/>
      <c r="C55" s="187"/>
      <c r="D55" s="187"/>
      <c r="E55" s="187"/>
      <c r="F55" s="187"/>
      <c r="G55" s="187"/>
      <c r="H55" s="187"/>
      <c r="I55" s="187"/>
    </row>
    <row r="56" spans="2:9" ht="3" customHeight="1" x14ac:dyDescent="0.2">
      <c r="B56" s="187"/>
      <c r="C56" s="187"/>
      <c r="D56" s="187"/>
      <c r="E56" s="187"/>
      <c r="F56" s="187"/>
      <c r="G56" s="187"/>
      <c r="H56" s="187"/>
      <c r="I56" s="187"/>
    </row>
    <row r="57" spans="2:9" ht="1" customHeight="1" x14ac:dyDescent="0.2">
      <c r="B57" s="187"/>
      <c r="C57" s="187"/>
      <c r="D57" s="187"/>
      <c r="E57" s="187"/>
      <c r="F57" s="187"/>
      <c r="G57" s="187"/>
      <c r="H57" s="187"/>
      <c r="I57" s="187"/>
    </row>
    <row r="58" spans="2:9" ht="1" customHeight="1" x14ac:dyDescent="0.2">
      <c r="B58" s="187"/>
      <c r="C58" s="187"/>
      <c r="D58" s="187"/>
      <c r="E58" s="187"/>
      <c r="F58" s="187"/>
      <c r="G58" s="187"/>
      <c r="H58" s="187"/>
      <c r="I58" s="187"/>
    </row>
    <row r="59" spans="2:9" ht="1" customHeight="1" x14ac:dyDescent="0.2">
      <c r="B59" s="187"/>
      <c r="C59" s="187"/>
      <c r="D59" s="187"/>
      <c r="E59" s="187"/>
      <c r="F59" s="187"/>
      <c r="G59" s="187"/>
      <c r="H59" s="187"/>
      <c r="I59" s="187"/>
    </row>
    <row r="60" spans="2:9" ht="1" customHeight="1" x14ac:dyDescent="0.2">
      <c r="B60" s="187"/>
      <c r="C60" s="187"/>
      <c r="D60" s="187"/>
      <c r="E60" s="187"/>
      <c r="F60" s="187"/>
      <c r="G60" s="187"/>
      <c r="H60" s="187"/>
      <c r="I60" s="187"/>
    </row>
    <row r="61" spans="2:9" ht="1" customHeight="1" x14ac:dyDescent="0.2">
      <c r="B61" s="187"/>
      <c r="C61" s="187"/>
      <c r="D61" s="187"/>
      <c r="E61" s="187"/>
      <c r="F61" s="187"/>
      <c r="G61" s="187"/>
      <c r="H61" s="187"/>
      <c r="I61" s="187"/>
    </row>
    <row r="62" spans="2:9" ht="1" customHeight="1" x14ac:dyDescent="0.2">
      <c r="B62" s="187"/>
      <c r="C62" s="187"/>
      <c r="D62" s="187"/>
      <c r="E62" s="187"/>
      <c r="F62" s="187"/>
      <c r="G62" s="187"/>
      <c r="H62" s="187"/>
      <c r="I62" s="187"/>
    </row>
    <row r="63" spans="2:9" ht="1" customHeight="1" x14ac:dyDescent="0.2">
      <c r="B63" s="187"/>
      <c r="C63" s="187"/>
      <c r="D63" s="187"/>
      <c r="E63" s="187"/>
      <c r="F63" s="187"/>
      <c r="G63" s="187"/>
      <c r="H63" s="187"/>
      <c r="I63" s="187"/>
    </row>
    <row r="64" spans="2:9" ht="1" customHeight="1" x14ac:dyDescent="0.2">
      <c r="B64" s="187"/>
      <c r="C64" s="187"/>
      <c r="D64" s="187"/>
      <c r="E64" s="187"/>
      <c r="F64" s="187"/>
      <c r="G64" s="187"/>
      <c r="H64" s="187"/>
      <c r="I64" s="187"/>
    </row>
    <row r="65" spans="2:9" ht="1" customHeight="1" x14ac:dyDescent="0.2">
      <c r="B65" s="187"/>
      <c r="C65" s="187"/>
      <c r="D65" s="187"/>
      <c r="E65" s="187"/>
      <c r="F65" s="187"/>
      <c r="G65" s="187"/>
      <c r="H65" s="187"/>
      <c r="I65" s="187"/>
    </row>
    <row r="66" spans="2:9" ht="1" customHeight="1" x14ac:dyDescent="0.2">
      <c r="B66" s="187"/>
      <c r="C66" s="187"/>
      <c r="D66" s="187"/>
      <c r="E66" s="187"/>
      <c r="F66" s="187"/>
      <c r="G66" s="187"/>
      <c r="H66" s="187"/>
      <c r="I66" s="187"/>
    </row>
    <row r="67" spans="2:9" ht="6" customHeight="1" x14ac:dyDescent="0.2">
      <c r="B67" s="187"/>
      <c r="C67" s="187"/>
      <c r="D67" s="187"/>
      <c r="E67" s="187"/>
      <c r="F67" s="187"/>
      <c r="G67" s="187"/>
      <c r="H67" s="187"/>
      <c r="I67" s="187"/>
    </row>
    <row r="68" spans="2:9" ht="1" customHeight="1" x14ac:dyDescent="0.2">
      <c r="B68" s="187"/>
      <c r="C68" s="187"/>
      <c r="D68" s="187"/>
      <c r="E68" s="187"/>
      <c r="F68" s="187"/>
      <c r="G68" s="187"/>
      <c r="H68" s="187"/>
      <c r="I68" s="187"/>
    </row>
    <row r="69" spans="2:9" ht="1" customHeight="1" x14ac:dyDescent="0.2">
      <c r="B69" s="187"/>
      <c r="C69" s="187"/>
      <c r="D69" s="187"/>
      <c r="E69" s="187"/>
      <c r="F69" s="187"/>
      <c r="G69" s="187"/>
      <c r="H69" s="187"/>
      <c r="I69" s="187"/>
    </row>
    <row r="70" spans="2:9" ht="14.25" customHeight="1" x14ac:dyDescent="0.2"/>
    <row r="71" spans="2:9" ht="14.25" customHeight="1" x14ac:dyDescent="0.2"/>
    <row r="72" spans="2:9" ht="14.25" customHeight="1" x14ac:dyDescent="0.2">
      <c r="B72" s="74"/>
      <c r="C72" s="74"/>
      <c r="D72" s="74"/>
      <c r="E72" s="74"/>
      <c r="F72" s="74"/>
      <c r="G72" s="74"/>
      <c r="H72" s="74"/>
      <c r="I72" s="74"/>
    </row>
  </sheetData>
  <mergeCells count="5">
    <mergeCell ref="B1:F1"/>
    <mergeCell ref="B10:B15"/>
    <mergeCell ref="B17:B28"/>
    <mergeCell ref="B34:I69"/>
    <mergeCell ref="A3:F5"/>
  </mergeCells>
  <phoneticPr fontId="28" type="noConversion"/>
  <conditionalFormatting sqref="B17 D17:F17">
    <cfRule type="expression" dxfId="5" priority="6">
      <formula>$E$6="US Dollar"</formula>
    </cfRule>
  </conditionalFormatting>
  <conditionalFormatting sqref="D19:F19">
    <cfRule type="expression" dxfId="4" priority="1">
      <formula>$E$6="US Dollar"</formula>
    </cfRule>
  </conditionalFormatting>
  <conditionalFormatting sqref="D24:F24">
    <cfRule type="expression" dxfId="3" priority="5">
      <formula>$E$6="US Dollar"</formula>
    </cfRule>
  </conditionalFormatting>
  <conditionalFormatting sqref="D26:F26">
    <cfRule type="expression" dxfId="2" priority="4">
      <formula>$E$6="US Dollar"</formula>
    </cfRule>
  </conditionalFormatting>
  <conditionalFormatting sqref="D28:F28">
    <cfRule type="expression" dxfId="1" priority="2">
      <formula>$E$6="US Dollar"</formula>
    </cfRule>
  </conditionalFormatting>
  <conditionalFormatting sqref="D30:F30">
    <cfRule type="expression" dxfId="0" priority="3">
      <formula>$E$6="US Dollar"</formula>
    </cfRule>
  </conditionalFormatting>
  <printOptions horizontalCentered="1" verticalCentered="1"/>
  <pageMargins left="0.25" right="0.25" top="0.75" bottom="0.75" header="0.3" footer="0.3"/>
  <pageSetup paperSize="9" scale="6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711C7-F586-4A4C-8A4D-F7C6E29BF28E}">
  <sheetPr>
    <tabColor rgb="FF00B050"/>
  </sheetPr>
  <dimension ref="A1:Q29"/>
  <sheetViews>
    <sheetView zoomScale="90" zoomScaleNormal="90" workbookViewId="0">
      <selection activeCell="A21" sqref="A21"/>
    </sheetView>
  </sheetViews>
  <sheetFormatPr baseColWidth="10" defaultColWidth="8.83203125" defaultRowHeight="15" x14ac:dyDescent="0.2"/>
  <cols>
    <col min="1" max="1" width="40.5" bestFit="1" customWidth="1"/>
    <col min="2" max="2" width="20.5" customWidth="1"/>
    <col min="3" max="3" width="14.5" customWidth="1"/>
    <col min="4" max="4" width="14.1640625" customWidth="1"/>
    <col min="5" max="5" width="14" customWidth="1"/>
    <col min="6" max="6" width="9.5" customWidth="1"/>
    <col min="9" max="9" width="27.83203125" bestFit="1" customWidth="1"/>
    <col min="10" max="10" width="19.83203125" customWidth="1"/>
    <col min="11" max="11" width="18.5" bestFit="1" customWidth="1"/>
    <col min="12" max="12" width="19.1640625" customWidth="1"/>
    <col min="13" max="13" width="20.83203125" customWidth="1"/>
    <col min="14" max="14" width="14.6640625" customWidth="1"/>
    <col min="15" max="15" width="20.1640625" customWidth="1"/>
    <col min="16" max="16" width="18.1640625" customWidth="1"/>
  </cols>
  <sheetData>
    <row r="1" spans="1:5" ht="16" x14ac:dyDescent="0.2">
      <c r="A1" s="195" t="s">
        <v>26</v>
      </c>
      <c r="B1" s="195"/>
      <c r="C1" s="195"/>
      <c r="D1" s="195"/>
      <c r="E1" s="196"/>
    </row>
    <row r="2" spans="1:5" ht="17" thickBot="1" x14ac:dyDescent="0.25">
      <c r="A2" s="163"/>
      <c r="B2" s="163"/>
      <c r="C2" s="163"/>
      <c r="D2" s="163"/>
      <c r="E2" s="163"/>
    </row>
    <row r="3" spans="1:5" ht="17" x14ac:dyDescent="0.2">
      <c r="A3" s="9" t="s">
        <v>59</v>
      </c>
      <c r="B3" s="10" t="s">
        <v>27</v>
      </c>
    </row>
    <row r="4" spans="1:5" ht="16" x14ac:dyDescent="0.2">
      <c r="A4" s="124">
        <v>20000</v>
      </c>
      <c r="B4" s="30">
        <v>15000</v>
      </c>
    </row>
    <row r="5" spans="1:5" ht="16" x14ac:dyDescent="0.2">
      <c r="A5" s="125">
        <v>50000</v>
      </c>
      <c r="B5" s="31">
        <v>25000</v>
      </c>
    </row>
    <row r="6" spans="1:5" ht="16" x14ac:dyDescent="0.2">
      <c r="A6" s="124">
        <v>125000</v>
      </c>
      <c r="B6" s="30">
        <v>35000</v>
      </c>
    </row>
    <row r="7" spans="1:5" ht="17" thickBot="1" x14ac:dyDescent="0.25">
      <c r="A7" s="32" t="s">
        <v>62</v>
      </c>
      <c r="B7" s="33">
        <v>55000</v>
      </c>
    </row>
    <row r="8" spans="1:5" x14ac:dyDescent="0.2">
      <c r="B8" s="102"/>
      <c r="C8" s="102"/>
      <c r="D8" s="102"/>
      <c r="E8" s="102"/>
    </row>
    <row r="9" spans="1:5" ht="16" thickBot="1" x14ac:dyDescent="0.25">
      <c r="B9" s="102"/>
      <c r="C9" s="102"/>
      <c r="D9" s="102"/>
      <c r="E9" s="102"/>
    </row>
    <row r="10" spans="1:5" ht="16" x14ac:dyDescent="0.2">
      <c r="A10" s="189" t="s">
        <v>28</v>
      </c>
      <c r="B10" s="190"/>
      <c r="C10" s="190"/>
      <c r="D10" s="190"/>
      <c r="E10" s="191"/>
    </row>
    <row r="11" spans="1:5" ht="16" x14ac:dyDescent="0.2">
      <c r="A11" s="192" t="s">
        <v>60</v>
      </c>
      <c r="B11" s="193"/>
      <c r="C11" s="193"/>
      <c r="D11" s="193"/>
      <c r="E11" s="194"/>
    </row>
    <row r="12" spans="1:5" ht="16" x14ac:dyDescent="0.2">
      <c r="A12" s="130" t="s">
        <v>61</v>
      </c>
      <c r="B12" s="128"/>
      <c r="C12" s="128"/>
      <c r="D12" s="128"/>
      <c r="E12" s="131"/>
    </row>
    <row r="13" spans="1:5" ht="16" x14ac:dyDescent="0.2">
      <c r="A13" s="7"/>
      <c r="B13" s="6">
        <v>0.01</v>
      </c>
      <c r="C13" s="6">
        <v>0.11</v>
      </c>
      <c r="D13" s="6">
        <v>0.25</v>
      </c>
      <c r="E13" s="8">
        <v>0.75</v>
      </c>
    </row>
    <row r="14" spans="1:5" ht="16" x14ac:dyDescent="0.2">
      <c r="A14" s="132">
        <v>1</v>
      </c>
      <c r="B14" s="28">
        <v>11</v>
      </c>
      <c r="C14" s="28">
        <v>9</v>
      </c>
      <c r="D14" s="28">
        <v>8</v>
      </c>
      <c r="E14" s="29">
        <v>7.25</v>
      </c>
    </row>
    <row r="15" spans="1:5" ht="16" x14ac:dyDescent="0.2">
      <c r="A15" s="133">
        <v>20001</v>
      </c>
      <c r="B15" s="34">
        <v>9</v>
      </c>
      <c r="C15" s="34">
        <v>8</v>
      </c>
      <c r="D15" s="34">
        <v>7</v>
      </c>
      <c r="E15" s="35">
        <v>6</v>
      </c>
    </row>
    <row r="16" spans="1:5" ht="16" x14ac:dyDescent="0.2">
      <c r="A16" s="132">
        <v>50001</v>
      </c>
      <c r="B16" s="28">
        <v>8</v>
      </c>
      <c r="C16" s="28">
        <v>6.5</v>
      </c>
      <c r="D16" s="28">
        <v>6</v>
      </c>
      <c r="E16" s="29">
        <v>5.25</v>
      </c>
    </row>
    <row r="17" spans="1:17" ht="17" thickBot="1" x14ac:dyDescent="0.25">
      <c r="A17" s="134">
        <v>125001</v>
      </c>
      <c r="B17" s="36">
        <v>6.5</v>
      </c>
      <c r="C17" s="36">
        <v>4.5</v>
      </c>
      <c r="D17" s="36">
        <v>3.75</v>
      </c>
      <c r="E17" s="37">
        <v>3.25</v>
      </c>
    </row>
    <row r="18" spans="1:17" x14ac:dyDescent="0.2">
      <c r="B18" s="102"/>
      <c r="C18" s="102"/>
      <c r="D18" s="102"/>
      <c r="E18" s="102"/>
    </row>
    <row r="19" spans="1:17" x14ac:dyDescent="0.2">
      <c r="B19" s="102"/>
      <c r="C19" s="102"/>
      <c r="D19" s="102"/>
      <c r="E19" s="102"/>
    </row>
    <row r="21" spans="1:17" s="165" customFormat="1" ht="35" thickBot="1" x14ac:dyDescent="0.25">
      <c r="B21" s="176" t="s">
        <v>68</v>
      </c>
      <c r="C21" s="177" t="s">
        <v>70</v>
      </c>
      <c r="D21" s="177" t="s">
        <v>71</v>
      </c>
      <c r="F21"/>
      <c r="Q21"/>
    </row>
    <row r="22" spans="1:17" ht="17" thickBot="1" x14ac:dyDescent="0.25">
      <c r="A22" s="169" t="s">
        <v>72</v>
      </c>
      <c r="B22" s="144">
        <f>'Cost 2.0'!D10</f>
        <v>100000</v>
      </c>
      <c r="C22" s="144">
        <f>'Cost 2.0'!E10</f>
        <v>100000</v>
      </c>
      <c r="D22" s="144">
        <f>'Cost 2.0'!F10</f>
        <v>100000</v>
      </c>
      <c r="G22" s="127"/>
    </row>
    <row r="23" spans="1:17" ht="17" thickBot="1" x14ac:dyDescent="0.25">
      <c r="A23" s="169" t="s">
        <v>73</v>
      </c>
      <c r="B23" s="144">
        <f>'Cost 2.0'!D14</f>
        <v>30000</v>
      </c>
      <c r="C23" s="144">
        <f>'Cost 2.0'!E14</f>
        <v>40000</v>
      </c>
      <c r="D23" s="144">
        <f>'Cost 2.0'!F14</f>
        <v>50000</v>
      </c>
      <c r="G23" s="164"/>
      <c r="H23" s="164"/>
    </row>
    <row r="24" spans="1:17" ht="17" thickBot="1" x14ac:dyDescent="0.25">
      <c r="A24" s="170" t="s">
        <v>44</v>
      </c>
      <c r="B24" s="171">
        <f>SUM((INDEX($B$14:$E$17,MATCH(B22, $A$14:$A$17),MATCH(B13, $B$13:$E$13))*IF(B23&lt;=(B22*0.1),B23,(B22*0.1)))+(INDEX($B$14:$E$17,MATCH(B22, $A$14:$A$17),MATCH(C13, $B$13:$E$13))*IF(B23-(IF(B23&lt;=(B22*0.1),B23,(B22*0.1)))&lt;=(B22*0.15),B23-(IF(B23&lt;=(B22*0.1),B23,(B22*0.1))),(B22*0.15)))+(INDEX($B$14:$E$17,MATCH(B22, $A$14:$A$17),MATCH(D13, $B$13:$E$13))*IF(B23-SUM((IF(B23&lt;=(B22*0.1),B23,(B22*0.1)))+(IF(B23-(IF(B23&lt;=(B22*0.1),B23,(B22*0.1)))&lt;=(B22*0.15),B23-(IF(B23&lt;=(B22*0.1),B23,(B22*0.1))),(B22*0.15))))&lt;=(B22*0.5),B23-SUM((IF(B23&lt;=(B22*0.1),B23,(B22*0.1)))+(IF(B23-(IF(B23&lt;=(B22*0.1),B23,(B22*0.1)))&lt;=(B22*0.15),B23-(IF(B23&lt;=(B22*0.1),B23,(B22*0.1))),(B22*0.15)))),(B22*0.5)))+(INDEX($B$14:$E$17,MATCH(B22, $A$14:$A$17),MATCH(E13, $B$13:$E$13))*(IF(B23-SUM(IF(B23&lt;=(B22*0.1),B23,(B22*0.1)),IF(B23-(IF(B23&lt;=(B22*0.1),B23,(B22*0.1)))&lt;=(B22*0.15),B23-(IF(B23&lt;=(B22*0.1),B23,(B22*0.1))),(B22*0.15)),IF(B23-SUM(IF(B23&lt;=(B22*0.1),B23,(B22*0.1)),IF(B23-(IF(B23&lt;=(B22*0.1),B23,(B22*0.1)))&lt;=(B22*0.15),B23-(IF(B23&lt;=(B22*0.1),B23,(B22*0.1))),(B22*0.15)))&lt;=(B22*0.5),B23-SUM(IF(B23&lt;=(B22*0.1),B23,(B22*0.1)),IF(B23-(IF(B23&lt;=(B22*0.1),B23,(B22*0.1)))&lt;=(B22*0.15),B23-(IF(B23&lt;=(B22*0.1),B23,(B22*0.1))),(B22*0.15))),(B22*0.5)))&lt;=(B22*0.25),B23-SUM(IF(B23&lt;=(B22*0.1),B23,(B22*0.1)),IF(B23-(IF(B23&lt;=(B22*0.1),B23,(B22*0.1)))&lt;=(B22*0.15),B23-(IF(B23&lt;=(B22*0.1),B23,(B22*0.1))),(B22*0.15)),IF(B23-SUM(IF(B23&lt;=(B22*0.1),B23,(B22*0.1)),IF(B23-(IF(B23&lt;=(B22*0.1),B23,(B22*0.1)))&lt;=(B22*0.15),B23-(IF(B23&lt;=(B22*0.1),B23,(B22*0.1))),(B22*0.15)))&lt;=(B22*0.5),B23-SUM(IF(B23&lt;=(B22*0.1),B23,(B22*0.1)),IF(B23-(IF(B23&lt;=(B22*0.1),B23,(B22*0.1)))&lt;=(B22*0.15),B23-(IF(B23&lt;=(B22*0.1),B23,(B22*0.1))),(B22*0.15))),(B22*0.5))),(B22*0.25)))))/B23</f>
        <v>6.916666666666667</v>
      </c>
      <c r="C24" s="171">
        <f>SUM((INDEX($B$14:$E$17,MATCH(C22, $A$14:$A$17),MATCH(B13, $B$13:$E$13))*IF(C23&lt;=(C22*0.1),C23,(C22*0.1)))+(INDEX($B$14:$E$17,MATCH(C22, $A$14:$A$17),MATCH(C13, $B$13:$E$13))*IF(C23-(IF(C23&lt;=(C22*0.1),C23,(C22*0.1)))&lt;=(C22*0.15),C23-(IF(C23&lt;=(C22*0.1),C23,(C22*0.1))),(C22*0.15)))+(INDEX($B$14:$E$17,MATCH(C22, $A$14:$A$17),MATCH(D13, $B$13:$E$13))*IF(C23-SUM((IF(C23&lt;=(C22*0.1),C23,(C22*0.1)))+(IF(C23-(IF(C23&lt;=(C22*0.1),C23,(C22*0.1)))&lt;=(C22*0.15),C23-(IF(C23&lt;=(C22*0.1),C23,(C22*0.1))),(C22*0.15))))&lt;=(C22*0.5),C23-SUM((IF(C23&lt;=(C22*0.1),C23,(C22*0.1)))+(IF(C23-(IF(C23&lt;=(C22*0.1),C23,(C22*0.1)))&lt;=(C22*0.15),C23-(IF(C23&lt;=(C22*0.1),C23,(C22*0.1))),(C22*0.15)))),(C22*0.5)))+(INDEX($B$14:$E$17,MATCH(C22, $A$14:$A$17),MATCH(E13, $B$13:$E$13))*(IF(C23-SUM(IF(C23&lt;=(C22*0.1),C23,(C22*0.1)),IF(C23-(IF(C23&lt;=(C22*0.1),C23,(C22*0.1)))&lt;=(C22*0.15),C23-(IF(C23&lt;=(C22*0.1),C23,(C22*0.1))),(C22*0.15)),IF(C23-SUM(IF(C23&lt;=(C22*0.1),C23,(C22*0.1)),IF(C23-(IF(C23&lt;=(C22*0.1),C23,(C22*0.1)))&lt;=(C22*0.15),C23-(IF(C23&lt;=(C22*0.1),C23,(C22*0.1))),(C22*0.15)))&lt;=(C22*0.5),C23-SUM(IF(C23&lt;=(C22*0.1),C23,(C22*0.1)),IF(C23-(IF(C23&lt;=(C22*0.1),C23,(C22*0.1)))&lt;=(C22*0.15),C23-(IF(C23&lt;=(C22*0.1),C23,(C22*0.1))),(C22*0.15))),(C22*0.5)))&lt;=(C22*0.25),C23-SUM(IF(C23&lt;=(C22*0.1),C23,(C22*0.1)),IF(C23-(IF(C23&lt;=(C22*0.1),C23,(C22*0.1)))&lt;=(C22*0.15),C23-(IF(C23&lt;=(C22*0.1),C23,(C22*0.1))),(C22*0.15)),IF(C23-SUM(IF(C23&lt;=(C22*0.1),C23,(C22*0.1)),IF(C23-(IF(C23&lt;=(C22*0.1),C23,(C22*0.1)))&lt;=(C22*0.15),C23-(IF(C23&lt;=(C22*0.1),C23,(C22*0.1))),(C22*0.15)))&lt;=(C22*0.5),C23-SUM(IF(C23&lt;=(C22*0.1),C23,(C22*0.1)),IF(C23-(IF(C23&lt;=(C22*0.1),C23,(C22*0.1)))&lt;=(C22*0.15),C23-(IF(C23&lt;=(C22*0.1),C23,(C22*0.1))),(C22*0.15))),(C22*0.5))),(C22*0.25)))))/C23</f>
        <v>6.6875</v>
      </c>
      <c r="D24" s="171">
        <f>SUM((INDEX($B$14:$E$17,MATCH(D22, $A$14:$A$17),MATCH(B13, $B$13:$E$13))*IF(D23&lt;=(D22*0.1),D23,(D22*0.1)))+(INDEX($B$14:$E$17,MATCH(D22, $A$14:$A$17),MATCH(C13, $B$13:$E$13))*IF(D23-(IF(D23&lt;=(D22*0.1),D23,(D22*0.1)))&lt;=(D22*0.15),D23-(IF(D23&lt;=(D22*0.1),D23,(D22*0.1))),(D22*0.15)))+(INDEX($B$14:$E$17,MATCH(D22, $A$14:$A$17),MATCH(D13, $B$13:$E$13))*IF(D23-SUM((IF(D23&lt;=(D22*0.1),D23,(D22*0.1)))+(IF(D23-(IF(D23&lt;=(D22*0.1),D23,(D22*0.1)))&lt;=(D22*0.15),D23-(IF(D23&lt;=(D22*0.1),D23,(D22*0.1))),(D22*0.15))))&lt;=(D22*0.5),D23-SUM((IF(D23&lt;=(D22*0.1),D23,(D22*0.1)))+(IF(D23-(IF(D23&lt;=(D22*0.1),D23,(D22*0.1)))&lt;=(D22*0.15),D23-(IF(D23&lt;=(D22*0.1),D23,(D22*0.1))),(D22*0.15)))),(D22*0.5)))+(INDEX($B$14:$E$17,MATCH(D22, $A$14:$A$17),MATCH(E13, $B$13:$E$13))*(IF(D23-SUM(IF(D23&lt;=(D22*0.1),D23,(D22*0.1)),IF(D23-(IF(D23&lt;=(D22*0.1),D23,(D22*0.1)))&lt;=(D22*0.15),D23-(IF(D23&lt;=(D22*0.1),D23,(D22*0.1))),(D22*0.15)),IF(D23-SUM(IF(D23&lt;=(D22*0.1),D23,(D22*0.1)),IF(D23-(IF(D23&lt;=(D22*0.1),D23,(D22*0.1)))&lt;=(D22*0.15),D23-(IF(D23&lt;=(D22*0.1),D23,(D22*0.1))),(D22*0.15)))&lt;=(D22*0.5),D23-SUM(IF(D23&lt;=(D22*0.1),D23,(D22*0.1)),IF(D23-(IF(D23&lt;=(D22*0.1),D23,(D22*0.1)))&lt;=(D22*0.15),D23-(IF(D23&lt;=(D22*0.1),D23,(D22*0.1))),(D22*0.15))),(D22*0.5)))&lt;=(D22*0.25),D23-SUM(IF(D23&lt;=(D22*0.1),D23,(D22*0.1)),IF(D23-(IF(D23&lt;=(D22*0.1),D23,(D22*0.1)))&lt;=(D22*0.15),D23-(IF(D23&lt;=(D22*0.1),D23,(D22*0.1))),(D22*0.15)),IF(D23-SUM(IF(D23&lt;=(D22*0.1),D23,(D22*0.1)),IF(D23-(IF(D23&lt;=(D22*0.1),D23,(D22*0.1)))&lt;=(D22*0.15),D23-(IF(D23&lt;=(D22*0.1),D23,(D22*0.1))),(D22*0.15)))&lt;=(D22*0.5),D23-SUM(IF(D23&lt;=(D22*0.1),D23,(D22*0.1)),IF(D23-(IF(D23&lt;=(D22*0.1),D23,(D22*0.1)))&lt;=(D22*0.15),D23-(IF(D23&lt;=(D22*0.1),D23,(D22*0.1))),(D22*0.15))),(D22*0.5))),(D22*0.25)))))/D23</f>
        <v>6.55</v>
      </c>
      <c r="G24" s="164"/>
      <c r="H24" s="164"/>
    </row>
    <row r="26" spans="1:17" ht="16" x14ac:dyDescent="0.2">
      <c r="A26" s="135"/>
      <c r="B26" s="135"/>
      <c r="C26" s="135"/>
      <c r="D26" s="135"/>
      <c r="E26" s="135"/>
    </row>
    <row r="27" spans="1:17" ht="16" x14ac:dyDescent="0.2">
      <c r="A27" s="135"/>
      <c r="B27" s="135"/>
      <c r="C27" s="135"/>
      <c r="D27" s="135"/>
      <c r="E27" s="135"/>
    </row>
    <row r="28" spans="1:17" ht="16" x14ac:dyDescent="0.2">
      <c r="A28" s="135"/>
      <c r="B28" s="135"/>
      <c r="C28" s="135"/>
      <c r="D28" s="135"/>
      <c r="E28" s="135"/>
    </row>
    <row r="29" spans="1:17" ht="16" x14ac:dyDescent="0.2">
      <c r="A29" s="135"/>
      <c r="B29" s="135"/>
      <c r="C29" s="135"/>
      <c r="D29" s="135"/>
      <c r="E29" s="135"/>
    </row>
  </sheetData>
  <sheetProtection algorithmName="SHA-512" hashValue="c5au1iejeHVwA1UxQhFaZ86wt59B5MucFYyWPhgmOEhFb2ZkBQN3dnnWAtzGG2sRWtSVm1WCf+IXvpwFFl8BEQ==" saltValue="EiZQSnFidHRz3oZTLiprjg==" spinCount="100000" sheet="1" objects="1" scenarios="1"/>
  <mergeCells count="3">
    <mergeCell ref="A10:E10"/>
    <mergeCell ref="A11:E11"/>
    <mergeCell ref="A1:E1"/>
  </mergeCells>
  <phoneticPr fontId="28"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78B48-7BC9-4A94-9265-766F3421EEC8}">
  <sheetPr>
    <tabColor rgb="FF00B050"/>
  </sheetPr>
  <dimension ref="A1:M36"/>
  <sheetViews>
    <sheetView zoomScale="90" zoomScaleNormal="90" workbookViewId="0">
      <selection activeCell="J18" sqref="J18"/>
    </sheetView>
  </sheetViews>
  <sheetFormatPr baseColWidth="10" defaultColWidth="8.83203125" defaultRowHeight="15" x14ac:dyDescent="0.2"/>
  <cols>
    <col min="1" max="1" width="40.5" bestFit="1" customWidth="1"/>
    <col min="2" max="2" width="15.33203125" customWidth="1"/>
    <col min="3" max="3" width="14.5" customWidth="1"/>
    <col min="4" max="4" width="14.1640625" customWidth="1"/>
    <col min="5" max="5" width="14" customWidth="1"/>
    <col min="6" max="6" width="18.83203125" bestFit="1" customWidth="1"/>
    <col min="7" max="7" width="12.6640625" customWidth="1"/>
    <col min="8" max="8" width="8.1640625" bestFit="1" customWidth="1"/>
    <col min="9" max="10" width="9.5" customWidth="1"/>
  </cols>
  <sheetData>
    <row r="1" spans="1:5" ht="16" x14ac:dyDescent="0.2">
      <c r="A1" s="195" t="s">
        <v>26</v>
      </c>
      <c r="B1" s="195"/>
      <c r="C1" s="195"/>
      <c r="D1" s="195"/>
      <c r="E1" s="196"/>
    </row>
    <row r="2" spans="1:5" ht="17" thickBot="1" x14ac:dyDescent="0.25">
      <c r="A2" s="163"/>
      <c r="B2" s="163"/>
      <c r="C2" s="163"/>
      <c r="D2" s="163"/>
      <c r="E2" s="163"/>
    </row>
    <row r="3" spans="1:5" ht="34" x14ac:dyDescent="0.2">
      <c r="A3" s="9" t="s">
        <v>59</v>
      </c>
      <c r="B3" s="10" t="s">
        <v>27</v>
      </c>
    </row>
    <row r="4" spans="1:5" ht="16" x14ac:dyDescent="0.2">
      <c r="A4" s="124">
        <v>20000</v>
      </c>
      <c r="B4" s="30">
        <v>15000</v>
      </c>
    </row>
    <row r="5" spans="1:5" ht="16" x14ac:dyDescent="0.2">
      <c r="A5" s="125">
        <v>50000</v>
      </c>
      <c r="B5" s="31">
        <v>25000</v>
      </c>
    </row>
    <row r="6" spans="1:5" ht="16" x14ac:dyDescent="0.2">
      <c r="A6" s="124">
        <v>125000</v>
      </c>
      <c r="B6" s="30">
        <v>35000</v>
      </c>
    </row>
    <row r="7" spans="1:5" ht="17" thickBot="1" x14ac:dyDescent="0.25">
      <c r="A7" s="32" t="s">
        <v>62</v>
      </c>
      <c r="B7" s="33">
        <v>55000</v>
      </c>
    </row>
    <row r="8" spans="1:5" x14ac:dyDescent="0.2">
      <c r="B8" s="102"/>
      <c r="C8" s="102"/>
      <c r="D8" s="102"/>
      <c r="E8" s="102"/>
    </row>
    <row r="9" spans="1:5" ht="16" thickBot="1" x14ac:dyDescent="0.25">
      <c r="B9" s="102"/>
      <c r="C9" s="102"/>
      <c r="D9" s="102"/>
      <c r="E9" s="102"/>
    </row>
    <row r="10" spans="1:5" ht="16" x14ac:dyDescent="0.2">
      <c r="A10" s="189" t="s">
        <v>28</v>
      </c>
      <c r="B10" s="190"/>
      <c r="C10" s="190"/>
      <c r="D10" s="190"/>
      <c r="E10" s="191"/>
    </row>
    <row r="11" spans="1:5" ht="16" x14ac:dyDescent="0.2">
      <c r="A11" s="192" t="s">
        <v>60</v>
      </c>
      <c r="B11" s="193"/>
      <c r="C11" s="193"/>
      <c r="D11" s="193"/>
      <c r="E11" s="194"/>
    </row>
    <row r="12" spans="1:5" ht="16" x14ac:dyDescent="0.2">
      <c r="A12" s="130" t="s">
        <v>61</v>
      </c>
      <c r="B12" s="128"/>
      <c r="C12" s="128"/>
      <c r="D12" s="128"/>
      <c r="E12" s="131"/>
    </row>
    <row r="13" spans="1:5" ht="16" x14ac:dyDescent="0.2">
      <c r="A13" s="7"/>
      <c r="B13" s="6">
        <v>0.01</v>
      </c>
      <c r="C13" s="6">
        <v>0.11</v>
      </c>
      <c r="D13" s="6">
        <v>0.25</v>
      </c>
      <c r="E13" s="8">
        <v>0.75</v>
      </c>
    </row>
    <row r="14" spans="1:5" ht="16" x14ac:dyDescent="0.2">
      <c r="A14" s="132">
        <v>1</v>
      </c>
      <c r="B14" s="28">
        <v>11</v>
      </c>
      <c r="C14" s="28">
        <v>9</v>
      </c>
      <c r="D14" s="28">
        <v>8</v>
      </c>
      <c r="E14" s="29">
        <v>7.25</v>
      </c>
    </row>
    <row r="15" spans="1:5" ht="16" x14ac:dyDescent="0.2">
      <c r="A15" s="133">
        <v>20001</v>
      </c>
      <c r="B15" s="34">
        <v>9</v>
      </c>
      <c r="C15" s="34">
        <v>8</v>
      </c>
      <c r="D15" s="34">
        <v>7</v>
      </c>
      <c r="E15" s="35">
        <v>6</v>
      </c>
    </row>
    <row r="16" spans="1:5" ht="16" x14ac:dyDescent="0.2">
      <c r="A16" s="132">
        <v>50001</v>
      </c>
      <c r="B16" s="28">
        <v>8</v>
      </c>
      <c r="C16" s="28">
        <v>6.5</v>
      </c>
      <c r="D16" s="28">
        <v>6</v>
      </c>
      <c r="E16" s="29">
        <v>5.25</v>
      </c>
    </row>
    <row r="17" spans="1:13" ht="17" thickBot="1" x14ac:dyDescent="0.25">
      <c r="A17" s="134">
        <v>125001</v>
      </c>
      <c r="B17" s="36">
        <v>6.5</v>
      </c>
      <c r="C17" s="36">
        <v>4.5</v>
      </c>
      <c r="D17" s="36">
        <v>3.75</v>
      </c>
      <c r="E17" s="37">
        <v>3.25</v>
      </c>
    </row>
    <row r="18" spans="1:13" x14ac:dyDescent="0.2">
      <c r="B18" s="102"/>
      <c r="C18" s="102"/>
      <c r="D18" s="102"/>
      <c r="E18" s="102"/>
    </row>
    <row r="19" spans="1:13" x14ac:dyDescent="0.2">
      <c r="B19" s="102"/>
      <c r="C19" s="102"/>
      <c r="D19" s="102"/>
      <c r="E19" s="102"/>
    </row>
    <row r="20" spans="1:13" ht="16" thickBot="1" x14ac:dyDescent="0.25"/>
    <row r="21" spans="1:13" s="165" customFormat="1" ht="18" thickBot="1" x14ac:dyDescent="0.25">
      <c r="B21" s="166" t="s">
        <v>68</v>
      </c>
      <c r="C21"/>
      <c r="D21"/>
      <c r="I21"/>
      <c r="J21"/>
    </row>
    <row r="22" spans="1:13" ht="17" thickBot="1" x14ac:dyDescent="0.25">
      <c r="A22" s="168" t="s">
        <v>57</v>
      </c>
      <c r="B22" s="175">
        <f>'Cost 2.0'!D10</f>
        <v>100000</v>
      </c>
      <c r="K22" s="127"/>
    </row>
    <row r="23" spans="1:13" ht="17" thickBot="1" x14ac:dyDescent="0.25">
      <c r="A23" s="168" t="s">
        <v>63</v>
      </c>
      <c r="B23" s="175">
        <f>'Cost 2.0'!D14</f>
        <v>30000</v>
      </c>
      <c r="K23" s="164"/>
      <c r="L23" s="164"/>
      <c r="M23" s="164"/>
    </row>
    <row r="24" spans="1:13" ht="17" thickBot="1" x14ac:dyDescent="0.25">
      <c r="A24" s="167" t="s">
        <v>44</v>
      </c>
      <c r="B24" s="162">
        <f>SUM((INDEX($B$14:$E$17,MATCH(B22, $A$14:$A$17),MATCH(B27, $B$13:$E$13))*IF(B23&lt;=(B22*0.1),B23,(B22*0.1)))+(INDEX($B$14:$E$17,MATCH(B22, $A$14:$A$17),MATCH(C27, $B$13:$E$13))*IF(B23-(IF(B23&lt;=(B22*0.1),B23,(B22*0.1)))&lt;=(B22*0.15),B23-(IF(B23&lt;=(B22*0.1),B23,(B22*0.1))),(B22*0.15)))+(INDEX($B$14:$E$17,MATCH(B22, $A$14:$A$17),MATCH(D27, $B$13:$E$13))*IF(B23-SUM((IF(B23&lt;=(B22*0.1),B23,(B22*0.1)))+(IF(B23-(IF(B23&lt;=(B22*0.1),B23,(B22*0.1)))&lt;=(B22*0.15),B23-(IF(B23&lt;=(B22*0.1),B23,(B22*0.1))),(B22*0.15))))&lt;=(B22*0.5),B23-SUM((IF(B23&lt;=(B22*0.1),B23,(B22*0.1)))+(IF(B23-(IF(B23&lt;=(B22*0.1),B23,(B22*0.1)))&lt;=(B22*0.15),B23-(IF(B23&lt;=(B22*0.1),B23,(B22*0.1))),(B22*0.15)))),(B22*0.5)))+(INDEX($B$14:$E$17,MATCH(B22, $A$14:$A$17),MATCH(E27, $B$13:$E$13))*(IF(B23-SUM(IF(B23&lt;=(B22*0.1),B23,(B22*0.1)),IF(B23-(IF(B23&lt;=(B22*0.1),B23,(B22*0.1)))&lt;=(B22*0.15),B23-(IF(B23&lt;=(B22*0.1),B23,(B22*0.1))),(B22*0.15)),IF(B23-SUM(IF(B23&lt;=(B22*0.1),B23,(B22*0.1)),IF(B23-(IF(B23&lt;=(B22*0.1),B23,(B22*0.1)))&lt;=(B22*0.15),B23-(IF(B23&lt;=(B22*0.1),B23,(B22*0.1))),(B22*0.15)))&lt;=(B22*0.5),B23-SUM(IF(B23&lt;=(B22*0.1),B23,(B22*0.1)),IF(B23-(IF(B23&lt;=(B22*0.1),B23,(B22*0.1)))&lt;=(B22*0.15),B23-(IF(B23&lt;=(B22*0.1),B23,(B22*0.1))),(B22*0.15))),(B22*0.5)))&lt;=(B22*0.25),B23-SUM(IF(B23&lt;=(B22*0.1),B23,(B22*0.1)),IF(B23-(IF(B23&lt;=(B22*0.1),B23,(B22*0.1)))&lt;=(B22*0.15),B23-(IF(B23&lt;=(B22*0.1),B23,(B22*0.1))),(B22*0.15)),IF(B23-SUM(IF(B23&lt;=(B22*0.1),B23,(B22*0.1)),IF(B23-(IF(B23&lt;=(B22*0.1),B23,(B22*0.1)))&lt;=(B22*0.15),B23-(IF(B23&lt;=(B22*0.1),B23,(B22*0.1))),(B22*0.15)))&lt;=(B22*0.5),B23-SUM(IF(B23&lt;=(B22*0.1),B23,(B22*0.1)),IF(B23-(IF(B23&lt;=(B22*0.1),B23,(B22*0.1)))&lt;=(B22*0.15),B23-(IF(B23&lt;=(B22*0.1),B23,(B22*0.1))),(B22*0.15))),(B22*0.5))),(B22*0.25)))))/B23</f>
        <v>6.916666666666667</v>
      </c>
      <c r="K24" s="164"/>
      <c r="L24" s="164"/>
      <c r="M24" s="164"/>
    </row>
    <row r="25" spans="1:13" ht="16" thickBot="1" x14ac:dyDescent="0.25"/>
    <row r="26" spans="1:13" ht="16" x14ac:dyDescent="0.2">
      <c r="A26" s="145"/>
      <c r="B26" s="197" t="s">
        <v>45</v>
      </c>
      <c r="C26" s="198"/>
      <c r="D26" s="198"/>
      <c r="E26" s="199"/>
      <c r="F26" s="135"/>
      <c r="G26" s="135"/>
    </row>
    <row r="27" spans="1:13" ht="16" x14ac:dyDescent="0.2">
      <c r="A27" s="149" t="s">
        <v>67</v>
      </c>
      <c r="B27" s="150">
        <v>0.01</v>
      </c>
      <c r="C27" s="150">
        <v>0.11</v>
      </c>
      <c r="D27" s="150">
        <v>0.25</v>
      </c>
      <c r="E27" s="151">
        <v>0.75</v>
      </c>
      <c r="F27" s="136"/>
      <c r="G27" s="135"/>
    </row>
    <row r="28" spans="1:13" ht="16" x14ac:dyDescent="0.2">
      <c r="A28" s="152" t="s">
        <v>64</v>
      </c>
      <c r="B28" s="153">
        <f>B22*0.1</f>
        <v>10000</v>
      </c>
      <c r="C28" s="153">
        <f>B22*0.25</f>
        <v>25000</v>
      </c>
      <c r="D28" s="153">
        <f>B22*0.75</f>
        <v>75000</v>
      </c>
      <c r="E28" s="154">
        <f>B22*1</f>
        <v>100000</v>
      </c>
      <c r="F28" s="137" t="s">
        <v>69</v>
      </c>
    </row>
    <row r="29" spans="1:13" ht="16" x14ac:dyDescent="0.2">
      <c r="A29" s="155" t="s">
        <v>65</v>
      </c>
      <c r="B29" s="156">
        <f>B28</f>
        <v>10000</v>
      </c>
      <c r="C29" s="156">
        <f>C28-B28</f>
        <v>15000</v>
      </c>
      <c r="D29" s="156">
        <f>D28-C28</f>
        <v>50000</v>
      </c>
      <c r="E29" s="157">
        <f t="shared" ref="E29" si="0">E28-D28</f>
        <v>25000</v>
      </c>
      <c r="F29" s="138">
        <f>SUM(B29:E29)</f>
        <v>100000</v>
      </c>
    </row>
    <row r="30" spans="1:13" ht="16" x14ac:dyDescent="0.2">
      <c r="A30" s="155" t="s">
        <v>66</v>
      </c>
      <c r="B30" s="156">
        <f>IF(B23&lt;=B29,B23,B29)</f>
        <v>10000</v>
      </c>
      <c r="C30" s="156">
        <f>IF(B23-B30&lt;=C29,B23-B30,C29)</f>
        <v>15000</v>
      </c>
      <c r="D30" s="156">
        <f>IF(B23-SUM(B30:C30)&lt;=D29,B23-SUM(B30:C30),D29)</f>
        <v>5000</v>
      </c>
      <c r="E30" s="157">
        <f>IF(B23-SUM(B30:D30)&lt;=E29,B23-SUM(B30:D30),E29)</f>
        <v>0</v>
      </c>
      <c r="F30" s="138">
        <f>SUM(B30:E30)</f>
        <v>30000</v>
      </c>
    </row>
    <row r="31" spans="1:13" ht="17" x14ac:dyDescent="0.2">
      <c r="A31" s="146" t="s">
        <v>56</v>
      </c>
      <c r="B31" s="147">
        <f>INDEX($B$14:$E$17,MATCH(B22, $A$14:$A$17),MATCH(B27, $B$13:$E$13))</f>
        <v>8</v>
      </c>
      <c r="C31" s="147">
        <f>INDEX($B$14:$E$17,MATCH(B22, $A$14:$A$17),MATCH(C27, $B$13:$E$13))</f>
        <v>6.5</v>
      </c>
      <c r="D31" s="147">
        <f>INDEX($B$14:$E$17,MATCH(B22, $A$14:$A$17),MATCH(D27, $B$13:$E$13))</f>
        <v>6</v>
      </c>
      <c r="E31" s="148">
        <f>INDEX($B$14:$E$17,MATCH(B22, $A$14:$A$17),MATCH(E27, $B$13:$E$13))</f>
        <v>5.25</v>
      </c>
      <c r="F31" s="135"/>
    </row>
    <row r="32" spans="1:13" ht="17" thickBot="1" x14ac:dyDescent="0.25">
      <c r="A32" s="158" t="s">
        <v>43</v>
      </c>
      <c r="B32" s="159">
        <f>B31*B30</f>
        <v>80000</v>
      </c>
      <c r="C32" s="159">
        <f>C31*C30</f>
        <v>97500</v>
      </c>
      <c r="D32" s="159">
        <f>D31*D30</f>
        <v>30000</v>
      </c>
      <c r="E32" s="160">
        <f>E31*E30</f>
        <v>0</v>
      </c>
      <c r="F32" s="139">
        <f>SUM(B32:E32)</f>
        <v>207500</v>
      </c>
    </row>
    <row r="33" spans="1:7" ht="17" thickBot="1" x14ac:dyDescent="0.25">
      <c r="A33" s="135"/>
      <c r="B33" s="135"/>
      <c r="C33" s="135"/>
      <c r="D33" s="135"/>
      <c r="E33" s="135"/>
      <c r="F33" s="135"/>
      <c r="G33" s="135"/>
    </row>
    <row r="34" spans="1:7" ht="16" x14ac:dyDescent="0.2">
      <c r="A34" s="135"/>
      <c r="B34" s="135"/>
      <c r="C34" s="135"/>
      <c r="D34" s="135"/>
      <c r="E34" s="135"/>
      <c r="F34" s="143" t="s">
        <v>43</v>
      </c>
      <c r="G34" s="140" t="s">
        <v>44</v>
      </c>
    </row>
    <row r="35" spans="1:7" ht="16" x14ac:dyDescent="0.2">
      <c r="A35" s="135"/>
      <c r="B35" s="135"/>
      <c r="C35" s="135"/>
      <c r="D35" s="135"/>
      <c r="E35" s="135"/>
      <c r="F35" s="141"/>
      <c r="G35" s="142"/>
    </row>
    <row r="36" spans="1:7" ht="17" thickBot="1" x14ac:dyDescent="0.25">
      <c r="A36" s="135"/>
      <c r="B36" s="135"/>
      <c r="C36" s="135"/>
      <c r="D36" s="135"/>
      <c r="E36" s="135"/>
      <c r="F36" s="161">
        <f>SUM(B32:E32)</f>
        <v>207500</v>
      </c>
      <c r="G36" s="162">
        <f>F36/B23</f>
        <v>6.916666666666667</v>
      </c>
    </row>
  </sheetData>
  <mergeCells count="4">
    <mergeCell ref="A1:E1"/>
    <mergeCell ref="A10:E10"/>
    <mergeCell ref="A11:E11"/>
    <mergeCell ref="B26:E26"/>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92F0-F71B-4D9B-A264-918A403AF3E6}">
  <dimension ref="A1:S27"/>
  <sheetViews>
    <sheetView zoomScaleNormal="100" workbookViewId="0">
      <selection activeCell="A25" activeCellId="3" sqref="A4:B4 A11:B11 A18:B18 A25:B25"/>
    </sheetView>
  </sheetViews>
  <sheetFormatPr baseColWidth="10" defaultColWidth="8.83203125" defaultRowHeight="15" x14ac:dyDescent="0.2"/>
  <cols>
    <col min="1" max="1" width="16.5" customWidth="1"/>
    <col min="2" max="3" width="19.1640625" customWidth="1"/>
    <col min="4" max="6" width="11.5" customWidth="1"/>
    <col min="7" max="7" width="11.5" bestFit="1" customWidth="1"/>
    <col min="8" max="8" width="13.1640625" customWidth="1"/>
    <col min="10" max="24" width="0" hidden="1" customWidth="1"/>
  </cols>
  <sheetData>
    <row r="1" spans="1:19" ht="16" thickBot="1" x14ac:dyDescent="0.25">
      <c r="D1" s="200" t="s">
        <v>45</v>
      </c>
      <c r="E1" s="200"/>
      <c r="F1" s="200"/>
      <c r="G1" s="200"/>
    </row>
    <row r="2" spans="1:19" ht="16" thickBot="1" x14ac:dyDescent="0.25">
      <c r="A2" s="203" t="s">
        <v>48</v>
      </c>
      <c r="B2" s="204"/>
      <c r="C2" s="98" t="s">
        <v>52</v>
      </c>
      <c r="D2" s="99" t="s">
        <v>40</v>
      </c>
      <c r="E2" s="100" t="s">
        <v>41</v>
      </c>
      <c r="F2" s="100" t="s">
        <v>42</v>
      </c>
      <c r="G2" s="100" t="s">
        <v>46</v>
      </c>
    </row>
    <row r="3" spans="1:19" ht="16" thickBot="1" x14ac:dyDescent="0.25">
      <c r="A3" s="88" t="s">
        <v>57</v>
      </c>
      <c r="B3" s="110" t="s">
        <v>63</v>
      </c>
      <c r="C3" s="101" t="s">
        <v>53</v>
      </c>
      <c r="D3" s="88">
        <f>A4*0.1</f>
        <v>1850</v>
      </c>
      <c r="E3" s="89">
        <f>A4*0.25</f>
        <v>4625</v>
      </c>
      <c r="F3" s="89">
        <f>A4*0.75</f>
        <v>13875</v>
      </c>
      <c r="G3" s="89" t="s">
        <v>54</v>
      </c>
    </row>
    <row r="4" spans="1:19" ht="16" thickBot="1" x14ac:dyDescent="0.25">
      <c r="A4" s="82">
        <v>18500</v>
      </c>
      <c r="B4" s="96">
        <v>4800</v>
      </c>
      <c r="C4" s="97" t="s">
        <v>51</v>
      </c>
      <c r="D4" s="82">
        <f>A4*0.1</f>
        <v>1850</v>
      </c>
      <c r="E4" s="87">
        <f>A4*0.15</f>
        <v>2775</v>
      </c>
      <c r="F4" s="87">
        <f>B4-E4-D4</f>
        <v>175</v>
      </c>
      <c r="G4" s="79">
        <v>0</v>
      </c>
      <c r="H4" s="83" t="s">
        <v>43</v>
      </c>
      <c r="I4" s="85" t="s">
        <v>44</v>
      </c>
    </row>
    <row r="5" spans="1:19" x14ac:dyDescent="0.2">
      <c r="A5" s="82"/>
      <c r="B5" s="82"/>
      <c r="C5" s="82" t="s">
        <v>55</v>
      </c>
      <c r="D5" s="92">
        <f>P12</f>
        <v>11</v>
      </c>
      <c r="E5" s="92">
        <f>Q12</f>
        <v>9</v>
      </c>
      <c r="F5" s="92">
        <f>R12</f>
        <v>8</v>
      </c>
      <c r="G5" s="92">
        <f>S12</f>
        <v>7.25</v>
      </c>
      <c r="H5" s="90"/>
      <c r="I5" s="91"/>
    </row>
    <row r="6" spans="1:19" ht="16" thickBot="1" x14ac:dyDescent="0.25">
      <c r="A6" s="82"/>
      <c r="B6" s="126"/>
      <c r="C6" s="88" t="s">
        <v>43</v>
      </c>
      <c r="D6" s="102">
        <f>D5*D4</f>
        <v>20350</v>
      </c>
      <c r="E6" s="102">
        <f>E5*E4</f>
        <v>24975</v>
      </c>
      <c r="F6" s="102">
        <f>F5*F4</f>
        <v>1400</v>
      </c>
      <c r="G6" s="102">
        <v>0</v>
      </c>
      <c r="H6" s="84">
        <f>SUM(D6:G6)</f>
        <v>46725</v>
      </c>
      <c r="I6" s="86">
        <f>H6/B4</f>
        <v>9.734375</v>
      </c>
    </row>
    <row r="7" spans="1:19" x14ac:dyDescent="0.2">
      <c r="D7" s="81"/>
      <c r="E7" s="81"/>
      <c r="F7" s="81"/>
      <c r="G7" s="81"/>
    </row>
    <row r="8" spans="1:19" ht="16" thickBot="1" x14ac:dyDescent="0.25">
      <c r="D8" s="200" t="s">
        <v>45</v>
      </c>
      <c r="E8" s="200"/>
      <c r="F8" s="200"/>
      <c r="G8" s="200"/>
    </row>
    <row r="9" spans="1:19" ht="16" thickBot="1" x14ac:dyDescent="0.25">
      <c r="A9" s="205" t="s">
        <v>47</v>
      </c>
      <c r="B9" s="206"/>
      <c r="C9" s="103" t="s">
        <v>52</v>
      </c>
      <c r="D9" s="88" t="s">
        <v>40</v>
      </c>
      <c r="E9" s="89" t="s">
        <v>41</v>
      </c>
      <c r="F9" s="89" t="s">
        <v>42</v>
      </c>
      <c r="G9" s="89" t="s">
        <v>46</v>
      </c>
    </row>
    <row r="10" spans="1:19" ht="16" thickBot="1" x14ac:dyDescent="0.25">
      <c r="A10" s="88" t="s">
        <v>57</v>
      </c>
      <c r="B10" s="111" t="s">
        <v>63</v>
      </c>
      <c r="C10" s="104" t="s">
        <v>53</v>
      </c>
      <c r="D10" s="88">
        <f>A11*0.1</f>
        <v>4350</v>
      </c>
      <c r="E10" s="89">
        <f>A11*0.25</f>
        <v>10875</v>
      </c>
      <c r="F10" s="89">
        <f>A11*0.75</f>
        <v>32625</v>
      </c>
      <c r="G10" s="89" t="s">
        <v>54</v>
      </c>
    </row>
    <row r="11" spans="1:19" ht="16" thickBot="1" x14ac:dyDescent="0.25">
      <c r="A11" s="82">
        <v>43500</v>
      </c>
      <c r="B11" s="95">
        <v>32500</v>
      </c>
      <c r="C11" s="104" t="s">
        <v>51</v>
      </c>
      <c r="D11" s="82">
        <f>A11*0.1</f>
        <v>4350</v>
      </c>
      <c r="E11" s="174">
        <f>A11*0.15</f>
        <v>6525</v>
      </c>
      <c r="F11" s="174">
        <f>B11-D11-E11</f>
        <v>21625</v>
      </c>
      <c r="G11" s="79">
        <v>0</v>
      </c>
      <c r="H11" s="83" t="s">
        <v>43</v>
      </c>
      <c r="I11" s="85" t="s">
        <v>44</v>
      </c>
    </row>
    <row r="12" spans="1:19" x14ac:dyDescent="0.2">
      <c r="A12" s="82"/>
      <c r="B12" s="82"/>
      <c r="C12" s="107" t="s">
        <v>55</v>
      </c>
      <c r="D12" s="92">
        <f>P13</f>
        <v>9</v>
      </c>
      <c r="E12" s="92">
        <f>Q13</f>
        <v>8</v>
      </c>
      <c r="F12" s="92">
        <f>R13</f>
        <v>7</v>
      </c>
      <c r="G12" s="92">
        <f>S13</f>
        <v>6</v>
      </c>
      <c r="H12" s="90"/>
      <c r="I12" s="91"/>
      <c r="P12" s="80">
        <v>11</v>
      </c>
      <c r="Q12" s="80">
        <v>9</v>
      </c>
      <c r="R12" s="80">
        <v>8</v>
      </c>
      <c r="S12" s="80">
        <v>7.25</v>
      </c>
    </row>
    <row r="13" spans="1:19" ht="16" thickBot="1" x14ac:dyDescent="0.25">
      <c r="A13" s="82"/>
      <c r="B13" s="82"/>
      <c r="C13" s="88" t="s">
        <v>43</v>
      </c>
      <c r="D13" s="102">
        <f>D12*D11</f>
        <v>39150</v>
      </c>
      <c r="E13" s="102">
        <f>E12*E11</f>
        <v>52200</v>
      </c>
      <c r="F13" s="102">
        <f>F12*F11</f>
        <v>151375</v>
      </c>
      <c r="G13" s="102">
        <f t="shared" ref="G13" si="0">G12*G11</f>
        <v>0</v>
      </c>
      <c r="H13" s="84">
        <f>SUM(D13:G13)</f>
        <v>242725</v>
      </c>
      <c r="I13" s="86">
        <f>H13/B11</f>
        <v>7.468461538461538</v>
      </c>
      <c r="J13" s="80"/>
      <c r="K13" s="80"/>
      <c r="L13" s="80"/>
      <c r="M13" s="80"/>
      <c r="P13" s="80">
        <v>9</v>
      </c>
      <c r="Q13" s="80">
        <v>8</v>
      </c>
      <c r="R13" s="80">
        <v>7</v>
      </c>
      <c r="S13" s="80">
        <v>6</v>
      </c>
    </row>
    <row r="14" spans="1:19" x14ac:dyDescent="0.2">
      <c r="P14" s="80">
        <v>8</v>
      </c>
      <c r="Q14" s="80">
        <v>6.5</v>
      </c>
      <c r="R14" s="80">
        <v>6</v>
      </c>
      <c r="S14" s="80">
        <v>5.25</v>
      </c>
    </row>
    <row r="15" spans="1:19" ht="16" thickBot="1" x14ac:dyDescent="0.25">
      <c r="D15" s="200" t="s">
        <v>45</v>
      </c>
      <c r="E15" s="200"/>
      <c r="F15" s="200"/>
      <c r="G15" s="200"/>
      <c r="I15" s="129"/>
      <c r="P15" s="80">
        <v>6.5</v>
      </c>
      <c r="Q15" s="80">
        <v>4.5</v>
      </c>
      <c r="R15" s="80">
        <v>3.75</v>
      </c>
      <c r="S15" s="80">
        <v>3.25</v>
      </c>
    </row>
    <row r="16" spans="1:19" ht="16" thickBot="1" x14ac:dyDescent="0.25">
      <c r="A16" s="207" t="s">
        <v>49</v>
      </c>
      <c r="B16" s="208"/>
      <c r="C16" s="105" t="s">
        <v>52</v>
      </c>
      <c r="D16" s="88" t="s">
        <v>40</v>
      </c>
      <c r="E16" s="89" t="s">
        <v>41</v>
      </c>
      <c r="F16" s="89" t="s">
        <v>42</v>
      </c>
      <c r="G16" s="89" t="s">
        <v>46</v>
      </c>
    </row>
    <row r="17" spans="1:9" ht="16" thickBot="1" x14ac:dyDescent="0.25">
      <c r="A17" s="88" t="s">
        <v>57</v>
      </c>
      <c r="B17" s="112" t="s">
        <v>63</v>
      </c>
      <c r="C17" s="106" t="s">
        <v>53</v>
      </c>
      <c r="D17" s="88">
        <f>A18*0.1</f>
        <v>11500</v>
      </c>
      <c r="E17" s="89">
        <f>A18*0.25</f>
        <v>28750</v>
      </c>
      <c r="F17" s="89">
        <f>A18*0.75</f>
        <v>86250</v>
      </c>
      <c r="G17" s="89" t="s">
        <v>54</v>
      </c>
    </row>
    <row r="18" spans="1:9" ht="16" thickBot="1" x14ac:dyDescent="0.25">
      <c r="A18" s="82">
        <v>115000</v>
      </c>
      <c r="B18" s="94">
        <v>58000</v>
      </c>
      <c r="C18" s="106" t="s">
        <v>51</v>
      </c>
      <c r="D18" s="82">
        <f>A18*0.1</f>
        <v>11500</v>
      </c>
      <c r="E18" s="87">
        <f>A18*0.15</f>
        <v>17250</v>
      </c>
      <c r="F18" s="87">
        <f>B18-E18-D18</f>
        <v>29250</v>
      </c>
      <c r="G18" s="79">
        <v>0</v>
      </c>
      <c r="H18" s="83" t="s">
        <v>43</v>
      </c>
      <c r="I18" s="85" t="s">
        <v>44</v>
      </c>
    </row>
    <row r="19" spans="1:9" x14ac:dyDescent="0.2">
      <c r="A19" s="82"/>
      <c r="B19" s="82"/>
      <c r="C19" s="107" t="s">
        <v>56</v>
      </c>
      <c r="D19" s="92">
        <f>P14</f>
        <v>8</v>
      </c>
      <c r="E19" s="92">
        <f>Q14</f>
        <v>6.5</v>
      </c>
      <c r="F19" s="92">
        <f>R14</f>
        <v>6</v>
      </c>
      <c r="G19" s="92">
        <f>S14</f>
        <v>5.25</v>
      </c>
      <c r="H19" s="90"/>
      <c r="I19" s="91"/>
    </row>
    <row r="20" spans="1:9" ht="16" thickBot="1" x14ac:dyDescent="0.25">
      <c r="A20" s="82"/>
      <c r="B20" s="82"/>
      <c r="C20" s="88" t="s">
        <v>43</v>
      </c>
      <c r="D20" s="102">
        <f>D19*D18</f>
        <v>92000</v>
      </c>
      <c r="E20" s="102">
        <f t="shared" ref="E20:F20" si="1">E19*E18</f>
        <v>112125</v>
      </c>
      <c r="F20" s="102">
        <f t="shared" si="1"/>
        <v>175500</v>
      </c>
      <c r="G20" s="102">
        <f>G19*G18</f>
        <v>0</v>
      </c>
      <c r="H20" s="84">
        <f>SUM(D20:G20)</f>
        <v>379625</v>
      </c>
      <c r="I20" s="86">
        <f>H20/B18</f>
        <v>6.5452586206896548</v>
      </c>
    </row>
    <row r="22" spans="1:9" ht="16" thickBot="1" x14ac:dyDescent="0.25">
      <c r="D22" s="200" t="s">
        <v>45</v>
      </c>
      <c r="E22" s="200"/>
      <c r="F22" s="200"/>
      <c r="G22" s="200"/>
    </row>
    <row r="23" spans="1:9" ht="16" thickBot="1" x14ac:dyDescent="0.25">
      <c r="A23" s="201" t="s">
        <v>50</v>
      </c>
      <c r="B23" s="202"/>
      <c r="C23" s="108" t="s">
        <v>52</v>
      </c>
      <c r="D23" s="88" t="s">
        <v>40</v>
      </c>
      <c r="E23" s="172" t="s">
        <v>41</v>
      </c>
      <c r="F23" s="172" t="s">
        <v>42</v>
      </c>
      <c r="G23" s="172" t="s">
        <v>46</v>
      </c>
    </row>
    <row r="24" spans="1:9" ht="16" thickBot="1" x14ac:dyDescent="0.25">
      <c r="A24" s="88" t="s">
        <v>57</v>
      </c>
      <c r="B24" s="113" t="s">
        <v>63</v>
      </c>
      <c r="C24" s="109" t="s">
        <v>53</v>
      </c>
      <c r="D24" s="88">
        <f>A25*0.1</f>
        <v>16550</v>
      </c>
      <c r="E24" s="172">
        <f>A25*0.25</f>
        <v>41375</v>
      </c>
      <c r="F24" s="172">
        <f>A25*0.75</f>
        <v>124125</v>
      </c>
      <c r="G24" s="172" t="s">
        <v>54</v>
      </c>
    </row>
    <row r="25" spans="1:9" ht="16" thickBot="1" x14ac:dyDescent="0.25">
      <c r="A25" s="82">
        <v>165500</v>
      </c>
      <c r="B25" s="93">
        <v>142500</v>
      </c>
      <c r="C25" s="109" t="s">
        <v>51</v>
      </c>
      <c r="D25" s="82">
        <f>A25*0.1</f>
        <v>16550</v>
      </c>
      <c r="E25" s="87">
        <f>A25*0.15</f>
        <v>24825</v>
      </c>
      <c r="F25" s="87">
        <f>A25*0.5</f>
        <v>82750</v>
      </c>
      <c r="G25" s="79">
        <f>B25-F25-E25-D25</f>
        <v>18375</v>
      </c>
      <c r="H25" s="83" t="s">
        <v>43</v>
      </c>
      <c r="I25" s="85" t="s">
        <v>44</v>
      </c>
    </row>
    <row r="26" spans="1:9" x14ac:dyDescent="0.2">
      <c r="A26" s="82"/>
      <c r="B26" s="82"/>
      <c r="C26" s="107" t="s">
        <v>56</v>
      </c>
      <c r="D26" s="173">
        <f>P15</f>
        <v>6.5</v>
      </c>
      <c r="E26" s="173">
        <f>Q15</f>
        <v>4.5</v>
      </c>
      <c r="F26" s="173">
        <f>R15</f>
        <v>3.75</v>
      </c>
      <c r="G26" s="173">
        <f>S15</f>
        <v>3.25</v>
      </c>
      <c r="H26" s="90"/>
      <c r="I26" s="91"/>
    </row>
    <row r="27" spans="1:9" ht="16" thickBot="1" x14ac:dyDescent="0.25">
      <c r="A27" s="82"/>
      <c r="B27" s="82"/>
      <c r="C27" s="88" t="s">
        <v>43</v>
      </c>
      <c r="D27" s="102">
        <f>D26*D25</f>
        <v>107575</v>
      </c>
      <c r="E27" s="102">
        <f t="shared" ref="E27:G27" si="2">E26*E25</f>
        <v>111712.5</v>
      </c>
      <c r="F27" s="102">
        <f t="shared" si="2"/>
        <v>310312.5</v>
      </c>
      <c r="G27" s="102">
        <f t="shared" si="2"/>
        <v>59718.75</v>
      </c>
      <c r="H27" s="84">
        <f>SUM(D27:G27)</f>
        <v>589318.75</v>
      </c>
      <c r="I27" s="86">
        <f>H27/B25</f>
        <v>4.1355701754385965</v>
      </c>
    </row>
  </sheetData>
  <mergeCells count="8">
    <mergeCell ref="D22:G22"/>
    <mergeCell ref="A23:B23"/>
    <mergeCell ref="D1:G1"/>
    <mergeCell ref="A2:B2"/>
    <mergeCell ref="D8:G8"/>
    <mergeCell ref="A9:B9"/>
    <mergeCell ref="D15:G15"/>
    <mergeCell ref="A16:B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8188F7478CF64096460EB330E8237C" ma:contentTypeVersion="1" ma:contentTypeDescription="Create a new document." ma:contentTypeScope="" ma:versionID="02c7eeb9a97957f550f3a2b63110a1ca">
  <xsd:schema xmlns:xsd="http://www.w3.org/2001/XMLSchema" xmlns:xs="http://www.w3.org/2001/XMLSchema" xmlns:p="http://schemas.microsoft.com/office/2006/metadata/properties" xmlns:ns3="f91828d2-7934-4f05-8a2f-4352a1ea900f" targetNamespace="http://schemas.microsoft.com/office/2006/metadata/properties" ma:root="true" ma:fieldsID="e9059e5db0befcc8cf551d14304dac96" ns3:_="">
    <xsd:import namespace="f91828d2-7934-4f05-8a2f-4352a1ea900f"/>
    <xsd:element name="properties">
      <xsd:complexType>
        <xsd:sequence>
          <xsd:element name="documentManagement">
            <xsd:complexType>
              <xsd:all>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828d2-7934-4f05-8a2f-4352a1ea900f"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DB844A-87E7-42D1-8A27-E2AF65267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828d2-7934-4f05-8a2f-4352a1ea90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5448FD-7F85-4C85-BDEA-D4A1A5454BCD}">
  <ds:schemaRefs>
    <ds:schemaRef ds:uri="http://schemas.openxmlformats.org/package/2006/metadata/core-properties"/>
    <ds:schemaRef ds:uri="http://www.w3.org/XML/1998/namespace"/>
    <ds:schemaRef ds:uri="http://purl.org/dc/terms/"/>
    <ds:schemaRef ds:uri="http://schemas.microsoft.com/office/2006/documentManagement/types"/>
    <ds:schemaRef ds:uri="http://purl.org/dc/dcmitype/"/>
    <ds:schemaRef ds:uri="http://purl.org/dc/elements/1.1/"/>
    <ds:schemaRef ds:uri="f91828d2-7934-4f05-8a2f-4352a1ea900f"/>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0AB7B15D-7184-425A-9DC3-5726002981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Cost 2.0</vt:lpstr>
      <vt:lpstr>Fee Tables 2.0</vt:lpstr>
      <vt:lpstr>Fee Tables (NEW with details)</vt:lpstr>
      <vt:lpstr>Examples of PCCU Fees</vt:lpstr>
      <vt:lpstr>'Cost 2.0'!Print_Area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Sri Automations</dc:creator>
  <cp:keywords/>
  <dc:description/>
  <cp:lastModifiedBy>Trenton Rae</cp:lastModifiedBy>
  <cp:revision/>
  <cp:lastPrinted>2024-10-02T14:29:37Z</cp:lastPrinted>
  <dcterms:created xsi:type="dcterms:W3CDTF">2015-02-17T11:48:39Z</dcterms:created>
  <dcterms:modified xsi:type="dcterms:W3CDTF">2025-02-27T18:04:36Z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0x010100228188F7478CF64096460EB330E8237C</vt:lpwstr>
  </property>
  <property fmtid="{D5CDD505-2E9C-101B-9397-08002B2CF9AE}" pid="3" name="MediaServiceImageTags">
    <vt:lpwstr/>
  </property>
</Properties>
</file>